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SOK001\surfdrive\Research projects\Fipronil\"/>
    </mc:Choice>
  </mc:AlternateContent>
  <xr:revisionPtr revIDLastSave="0" documentId="13_ncr:1_{DA7AC01C-8B17-45D3-8BB3-C01A093CA895}" xr6:coauthVersionLast="44" xr6:coauthVersionMax="44" xr10:uidLastSave="{00000000-0000-0000-0000-000000000000}"/>
  <bookViews>
    <workbookView xWindow="16080" yWindow="-120" windowWidth="29040" windowHeight="15840" activeTab="1" xr2:uid="{00000000-000D-0000-FFFF-FFFF00000000}"/>
  </bookViews>
  <sheets>
    <sheet name="Income statement data BINTERNET" sheetId="2" r:id="rId1"/>
    <sheet name="Partial budget and income stat.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0" i="4" l="1"/>
  <c r="O28" i="4"/>
  <c r="V13" i="4" s="1"/>
  <c r="O27" i="4"/>
  <c r="U14" i="4" l="1"/>
  <c r="AH8" i="4"/>
  <c r="AH9" i="4"/>
  <c r="AH10" i="4"/>
  <c r="AH11" i="4"/>
  <c r="AH12" i="4"/>
  <c r="AH13" i="4"/>
  <c r="AH14" i="4"/>
  <c r="AH15" i="4"/>
  <c r="AH16" i="4"/>
  <c r="AH17" i="4"/>
  <c r="AH18" i="4"/>
  <c r="AH7" i="4"/>
  <c r="AG8" i="4"/>
  <c r="AG9" i="4"/>
  <c r="AG10" i="4"/>
  <c r="AG11" i="4"/>
  <c r="AG12" i="4"/>
  <c r="AG13" i="4"/>
  <c r="AG14" i="4"/>
  <c r="AG15" i="4"/>
  <c r="AG16" i="4"/>
  <c r="AG17" i="4"/>
  <c r="AG18" i="4"/>
  <c r="AG7" i="4"/>
  <c r="V18" i="4" l="1"/>
  <c r="V10" i="4"/>
  <c r="V11" i="4" l="1"/>
  <c r="C32" i="4" l="1"/>
  <c r="C39" i="4"/>
  <c r="D36" i="4"/>
  <c r="D34" i="4"/>
  <c r="D26" i="4"/>
  <c r="O14" i="4"/>
  <c r="U5" i="4" s="1"/>
  <c r="V16" i="4"/>
  <c r="V17" i="4"/>
  <c r="V9" i="4"/>
  <c r="V6" i="4" l="1"/>
  <c r="G23" i="4"/>
  <c r="V7" i="4"/>
  <c r="V5" i="4"/>
  <c r="H23" i="4" l="1"/>
  <c r="D40" i="4"/>
  <c r="C25" i="4"/>
  <c r="D27" i="4" l="1"/>
  <c r="I15" i="4" s="1"/>
  <c r="D29" i="4"/>
  <c r="I17" i="4" s="1"/>
  <c r="D28" i="4"/>
  <c r="I16" i="4" s="1"/>
  <c r="C37" i="4" l="1"/>
  <c r="C36" i="4" s="1"/>
  <c r="C43" i="4" s="1"/>
  <c r="D33" i="4"/>
  <c r="D32" i="4" s="1"/>
  <c r="D41" i="4" l="1"/>
  <c r="D39" i="4" s="1"/>
  <c r="D30" i="4"/>
  <c r="M4" i="2"/>
  <c r="M5" i="2"/>
  <c r="M6" i="2"/>
  <c r="M7" i="2"/>
  <c r="M8" i="2"/>
  <c r="M9" i="2"/>
  <c r="M10" i="2"/>
  <c r="M11" i="2"/>
  <c r="M12" i="2"/>
  <c r="M13" i="2"/>
  <c r="M14" i="2"/>
  <c r="M15" i="2"/>
  <c r="G7" i="4" s="1"/>
  <c r="M16" i="2"/>
  <c r="M17" i="2"/>
  <c r="M18" i="2"/>
  <c r="M19" i="2"/>
  <c r="M20" i="2"/>
  <c r="M22" i="2"/>
  <c r="M23" i="2"/>
  <c r="M24" i="2"/>
  <c r="C7" i="4" s="1"/>
  <c r="G12" i="4" s="1"/>
  <c r="I12" i="4" s="1"/>
  <c r="M25" i="2"/>
  <c r="M26" i="2"/>
  <c r="M27" i="2"/>
  <c r="M28" i="2"/>
  <c r="C8" i="4" s="1"/>
  <c r="G13" i="4" s="1"/>
  <c r="I13" i="4" s="1"/>
  <c r="M29" i="2"/>
  <c r="C9" i="4" s="1"/>
  <c r="M30" i="2"/>
  <c r="M31" i="2"/>
  <c r="M32" i="2"/>
  <c r="C17" i="4" s="1"/>
  <c r="M33" i="2"/>
  <c r="M34" i="2"/>
  <c r="M35" i="2"/>
  <c r="M36" i="2"/>
  <c r="M37" i="2"/>
  <c r="C10" i="4" s="1"/>
  <c r="M38" i="2"/>
  <c r="C11" i="4" s="1"/>
  <c r="M39" i="2"/>
  <c r="M40" i="2"/>
  <c r="C14" i="4" s="1"/>
  <c r="M41" i="2"/>
  <c r="C16" i="4" s="1"/>
  <c r="M42" i="2"/>
  <c r="M43" i="2"/>
  <c r="C18" i="4" s="1"/>
  <c r="M45" i="2"/>
  <c r="M46" i="2"/>
  <c r="M47" i="2"/>
  <c r="M48" i="2"/>
  <c r="M49" i="2"/>
  <c r="M50" i="2"/>
  <c r="M3" i="2"/>
  <c r="C13" i="4" l="1"/>
  <c r="C15" i="4"/>
  <c r="C12" i="4" s="1"/>
  <c r="H13" i="4"/>
  <c r="I7" i="4"/>
  <c r="H7" i="4"/>
  <c r="H12" i="4"/>
  <c r="G8" i="4"/>
  <c r="G9" i="4" s="1"/>
  <c r="I23" i="4"/>
  <c r="C19" i="4" l="1"/>
  <c r="G14" i="4"/>
  <c r="H14" i="4" s="1"/>
  <c r="H18" i="4" s="1"/>
  <c r="G24" i="4"/>
  <c r="D25" i="4"/>
  <c r="D43" i="4" s="1"/>
  <c r="G18" i="4" l="1"/>
  <c r="I14" i="4"/>
  <c r="I18" i="4" s="1"/>
  <c r="H24" i="4"/>
  <c r="H25" i="4" s="1"/>
  <c r="G25" i="4"/>
  <c r="I24" i="4"/>
  <c r="I25" i="4" s="1"/>
  <c r="G20" i="4"/>
  <c r="H8" i="4"/>
  <c r="H9" i="4" s="1"/>
  <c r="I8" i="4"/>
  <c r="H20" i="4" l="1"/>
  <c r="H27" i="4" s="1"/>
  <c r="I9" i="4"/>
  <c r="G27" i="4"/>
  <c r="G28" i="4" l="1"/>
  <c r="G29" i="4" s="1"/>
  <c r="H28" i="4"/>
  <c r="H29" i="4" s="1"/>
  <c r="I20" i="4"/>
  <c r="I27" i="4" s="1"/>
  <c r="I28" i="4" l="1"/>
  <c r="I29" i="4" s="1"/>
</calcChain>
</file>

<file path=xl/sharedStrings.xml><?xml version="1.0" encoding="utf-8"?>
<sst xmlns="http://schemas.openxmlformats.org/spreadsheetml/2006/main" count="842" uniqueCount="205">
  <si>
    <t>Feed</t>
  </si>
  <si>
    <t>Manure disposal</t>
  </si>
  <si>
    <t>Depreciation</t>
  </si>
  <si>
    <t>Maintenance</t>
  </si>
  <si>
    <t>Utilities</t>
  </si>
  <si>
    <t>Fuel</t>
  </si>
  <si>
    <t>Other operating expenses</t>
  </si>
  <si>
    <t xml:space="preserve">Paid labour </t>
  </si>
  <si>
    <t>Interest</t>
  </si>
  <si>
    <t>TOTAL EXPENSES</t>
  </si>
  <si>
    <t>Variabelen</t>
  </si>
  <si>
    <t>Eenheid</t>
  </si>
  <si>
    <t>&lt;b&gt;Opbrengsten&lt;/b&gt;</t>
  </si>
  <si>
    <t>Totaal opbrengsten</t>
  </si>
  <si>
    <t>euro</t>
  </si>
  <si>
    <t>Akkerbouw</t>
  </si>
  <si>
    <t>tarwe</t>
  </si>
  <si>
    <t>suikerbieten</t>
  </si>
  <si>
    <t>Rundveehouderij</t>
  </si>
  <si>
    <t>melk en zuivelproducten</t>
  </si>
  <si>
    <t>omzet en aanwas rundveehouderij</t>
  </si>
  <si>
    <t>Intensieve veehouderij</t>
  </si>
  <si>
    <t>omzet en aanwas pluimveehouderij</t>
  </si>
  <si>
    <t>verkopen pluimvee</t>
  </si>
  <si>
    <t>aankopen pluimvee</t>
  </si>
  <si>
    <t>aanwas pluimvee</t>
  </si>
  <si>
    <t>eieren</t>
  </si>
  <si>
    <t>Overige opbrengsten</t>
  </si>
  <si>
    <t>inkomenstoeslagen en subsidies</t>
  </si>
  <si>
    <t>energiehandel en -verkoop</t>
  </si>
  <si>
    <t>werk voor derden</t>
  </si>
  <si>
    <t>verhuur van activa</t>
  </si>
  <si>
    <t>&lt;b&gt;Betaalde kosten en afschrijving&lt;/b&gt;</t>
  </si>
  <si>
    <t>Totaal betaalde kosten en afschrijving</t>
  </si>
  <si>
    <t>Dierlijke en plantaardige activa</t>
  </si>
  <si>
    <t>veevoer</t>
  </si>
  <si>
    <t>meststoffen</t>
  </si>
  <si>
    <t>zaaizaad en pootgoed</t>
  </si>
  <si>
    <t>gewasbeschermingsmiddelen</t>
  </si>
  <si>
    <t>mestafzetkosten</t>
  </si>
  <si>
    <t>Energie</t>
  </si>
  <si>
    <t>electriciteit</t>
  </si>
  <si>
    <t>gas</t>
  </si>
  <si>
    <t>Immateriele activa</t>
  </si>
  <si>
    <t>Materiele activa</t>
  </si>
  <si>
    <t>betaalde pacht</t>
  </si>
  <si>
    <t>afschrijving gebouwen en glasopstanden</t>
  </si>
  <si>
    <t>afschrijving machines en installaties</t>
  </si>
  <si>
    <t>brandstoffen</t>
  </si>
  <si>
    <t>onderhoud</t>
  </si>
  <si>
    <t>Betaalde arbeid</t>
  </si>
  <si>
    <t>Werk door derden</t>
  </si>
  <si>
    <t>Financieringslasten</t>
  </si>
  <si>
    <t>betaalde rente</t>
  </si>
  <si>
    <t>Algemene kosten</t>
  </si>
  <si>
    <t>&lt;b&gt;Resultaat&lt;/b&gt;</t>
  </si>
  <si>
    <t>Inkomen uit normale bedrijfsvoering</t>
  </si>
  <si>
    <t>Buitengewone baten en lasten</t>
  </si>
  <si>
    <t>Inkomen uit bedrijf</t>
  </si>
  <si>
    <t>Inkomen uit bedrijf per onbetaalde aje</t>
  </si>
  <si>
    <t>euro/onbetaalde aje</t>
  </si>
  <si>
    <t>Inkomen uit bedrijf per oaje, bij werkelijk BTW</t>
  </si>
  <si>
    <t>Standaardfout van het inkomen uit bedrijf</t>
  </si>
  <si>
    <t>average</t>
  </si>
  <si>
    <t>Unaffected farm</t>
  </si>
  <si>
    <t>Affected farm</t>
  </si>
  <si>
    <t>Additional costs</t>
  </si>
  <si>
    <t>Reduced costs</t>
  </si>
  <si>
    <t>Additional revenue</t>
  </si>
  <si>
    <t>Reduced revenue</t>
  </si>
  <si>
    <t>Disposal costs contaminated eggs</t>
  </si>
  <si>
    <t>Stable cleaning</t>
  </si>
  <si>
    <t>Disposal costs old flock</t>
  </si>
  <si>
    <t>Feed costs</t>
  </si>
  <si>
    <t>Depreciation old flock</t>
  </si>
  <si>
    <t>Returns</t>
  </si>
  <si>
    <t>Other returns</t>
  </si>
  <si>
    <t>Total returns</t>
  </si>
  <si>
    <t>Allocated costs</t>
  </si>
  <si>
    <t xml:space="preserve">Stable cleaning </t>
  </si>
  <si>
    <t>Disposal contaminated eggs</t>
  </si>
  <si>
    <t>Gross margin</t>
  </si>
  <si>
    <t>Fixed costs</t>
  </si>
  <si>
    <t>Other non-allocated costs</t>
  </si>
  <si>
    <t>Total fixed costs</t>
  </si>
  <si>
    <t>Net operating result</t>
  </si>
  <si>
    <t>Total allocated costs</t>
  </si>
  <si>
    <t>Flock size</t>
  </si>
  <si>
    <t>Source</t>
  </si>
  <si>
    <t>Agrimatie</t>
  </si>
  <si>
    <t>Purchase value hen</t>
  </si>
  <si>
    <t>Slaughter value hen</t>
  </si>
  <si>
    <t>Euro</t>
  </si>
  <si>
    <t>hens</t>
  </si>
  <si>
    <t>day</t>
  </si>
  <si>
    <t>Euro/ton</t>
  </si>
  <si>
    <t>Euro/egg</t>
  </si>
  <si>
    <t>Feed intake</t>
  </si>
  <si>
    <t>Grams/hen/day</t>
  </si>
  <si>
    <t>Euro/kg</t>
  </si>
  <si>
    <t>Work by contractors</t>
  </si>
  <si>
    <t>Turnover (selling eggs)</t>
  </si>
  <si>
    <t>Other allocated costs</t>
  </si>
  <si>
    <t>Purchased production rights</t>
  </si>
  <si>
    <t>General costs</t>
  </si>
  <si>
    <t>Normal year</t>
  </si>
  <si>
    <t>Manure disposal costs</t>
  </si>
  <si>
    <t>Selling eggs</t>
  </si>
  <si>
    <t>-</t>
  </si>
  <si>
    <t>Slaughter value hens</t>
  </si>
  <si>
    <t>weeks</t>
  </si>
  <si>
    <t>Depreciation period old flock</t>
  </si>
  <si>
    <t>General information</t>
  </si>
  <si>
    <t>Cost of depreciation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</si>
  <si>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</si>
  <si>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</si>
  <si>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</si>
  <si>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</si>
  <si>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</si>
  <si>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</si>
  <si>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</si>
  <si>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</si>
  <si>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</si>
  <si>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</si>
  <si>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</si>
  <si>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</si>
  <si>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</si>
  <si>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</si>
  <si>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</si>
  <si>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</si>
  <si>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</si>
  <si>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</si>
  <si>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Price_Fipronil</t>
  </si>
  <si>
    <t>Price_normal</t>
  </si>
  <si>
    <t>Reduced revenue from selling eggs</t>
  </si>
  <si>
    <t>Additional revenue from selling eggs</t>
  </si>
  <si>
    <t>Egg price first half 2017</t>
  </si>
  <si>
    <t>https://www.agrimatie.nl/Prijzen.aspx?ID=15125</t>
  </si>
  <si>
    <t>Poultry Expertise Centre</t>
  </si>
  <si>
    <t>Extra depreciation old flock</t>
  </si>
  <si>
    <t>Egg selling revenue</t>
  </si>
  <si>
    <t>Specific Fipronil costs</t>
  </si>
  <si>
    <t>Unit</t>
  </si>
  <si>
    <t>Value</t>
  </si>
  <si>
    <t>Euro/hen</t>
  </si>
  <si>
    <t>Horne et al. (2017)</t>
  </si>
  <si>
    <t>Disposal cost contaminated eggs</t>
  </si>
  <si>
    <t>Disposal cost contaminated hen</t>
  </si>
  <si>
    <t>Slaugher value hens</t>
  </si>
  <si>
    <t>Breakdown of costs</t>
  </si>
  <si>
    <t xml:space="preserve">Income statement over 2017 of a laying hen farm with a flock of 50,000 </t>
  </si>
  <si>
    <t>Input values for partial budget calculations</t>
  </si>
  <si>
    <t>Calculations made for thepartial budget parts</t>
  </si>
  <si>
    <t>Cost or revenue factor</t>
  </si>
  <si>
    <t>Calculation</t>
  </si>
  <si>
    <t>Outcome</t>
  </si>
  <si>
    <t xml:space="preserve">Egg price </t>
  </si>
  <si>
    <t>Witte scharreleieren, klasse M</t>
  </si>
  <si>
    <t>Symbol</t>
  </si>
  <si>
    <t>Blocking period</t>
  </si>
  <si>
    <t>Manure production hen (thick fraction)</t>
  </si>
  <si>
    <t>kg/hen/year</t>
  </si>
  <si>
    <t xml:space="preserve">Feed reduced costs </t>
  </si>
  <si>
    <t>Manure disposal reduced costs</t>
  </si>
  <si>
    <t>Fipronil manure disposal additional costs</t>
  </si>
  <si>
    <t>KWIN Veehouderij 2017/2018</t>
  </si>
  <si>
    <t>Culling and cleaning, unoccupied period</t>
  </si>
  <si>
    <t>Egg price average last 4 months 2017</t>
  </si>
  <si>
    <t>Fipronil manure disposal</t>
  </si>
  <si>
    <t>Contaminated eggs disposal</t>
  </si>
  <si>
    <t>Old flock disposal</t>
  </si>
  <si>
    <t>Old flock extra depreciation (write-off)</t>
  </si>
  <si>
    <t>Change in net operating result</t>
  </si>
  <si>
    <t>Eggs production (start flock: 50000 hens)</t>
  </si>
  <si>
    <t>EBITDA (excl. depr. flock)</t>
  </si>
  <si>
    <t>EBITDA (incl. depr. flock)</t>
  </si>
  <si>
    <t>Useful life (raise period, 21 days, lay period, 455 days)</t>
  </si>
  <si>
    <t>(3) × [(6) - (7)] / (8) × (9)</t>
  </si>
  <si>
    <t>(3) × [(6) - (7)] / (8) × [(8) - (9)]</t>
  </si>
  <si>
    <t>(3) × (7)</t>
  </si>
  <si>
    <t>(2) × 7 × (3) × (10) × (11) / 1000</t>
  </si>
  <si>
    <t>(3) × (5) / 52 × (2) ×  (13) / 1000</t>
  </si>
  <si>
    <t>(3) × (5) / 52 × [(1) + (2)] ×  [(12) - (13)] / 1000</t>
  </si>
  <si>
    <t>[(1) + (2)] × 7 × (4) × (15)</t>
  </si>
  <si>
    <t>[(1) + (2)] × 7 × (4) × [(15) - (14)</t>
  </si>
  <si>
    <t>(3) × (16)</t>
  </si>
  <si>
    <t>(1) × 7 × (4) × (17)</t>
  </si>
  <si>
    <t>(3) × (18)</t>
  </si>
  <si>
    <t>Output: partial budget and income statement</t>
  </si>
  <si>
    <t xml:space="preserve">Partial budget over 2017 of the impact of Fipronil </t>
  </si>
  <si>
    <t>on the net operating result</t>
  </si>
  <si>
    <t>four-year average 2013 - 2016</t>
  </si>
  <si>
    <t>standard deviation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</si>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</sst>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€&quot;* #,##0.00_-;\-&quot;€&quot;* #,##0.00_-;_-&quot;€&quot;* &quot;-&quot;??_-;_-@_-"/>
    <numFmt numFmtId="164" formatCode="_ &quot;€&quot;\ * #,##0.00_ ;_ &quot;€&quot;\ * \-#,##0.00_ ;_ &quot;€&quot;\ * &quot;-&quot;??_ ;_ @_ "/>
    <numFmt numFmtId="165" formatCode="_ &quot;€&quot;\ * #,##0_ ;_ &quot;€&quot;\ * \-#,##0_ ;_ &quot;€&quot;\ * &quot;-&quot;??_ ;_ @_ "/>
    <numFmt numFmtId="166" formatCode="0.000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0" borderId="0" xfId="0" applyFont="1"/>
    <xf numFmtId="0" fontId="2" fillId="4" borderId="6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/>
    <xf numFmtId="0" fontId="3" fillId="4" borderId="7" xfId="0" applyFont="1" applyFill="1" applyBorder="1" applyAlignment="1">
      <alignment horizontal="center"/>
    </xf>
    <xf numFmtId="0" fontId="2" fillId="4" borderId="7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left"/>
    </xf>
    <xf numFmtId="165" fontId="2" fillId="0" borderId="2" xfId="0" applyNumberFormat="1" applyFont="1" applyFill="1" applyBorder="1"/>
    <xf numFmtId="0" fontId="2" fillId="4" borderId="7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4" fontId="2" fillId="0" borderId="0" xfId="0" applyNumberFormat="1" applyFont="1" applyFill="1" applyBorder="1"/>
    <xf numFmtId="164" fontId="2" fillId="4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164" fontId="2" fillId="4" borderId="7" xfId="0" applyNumberFormat="1" applyFont="1" applyFill="1" applyBorder="1"/>
    <xf numFmtId="164" fontId="3" fillId="4" borderId="7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5" borderId="2" xfId="0" applyFont="1" applyFill="1" applyBorder="1"/>
    <xf numFmtId="166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/>
    <xf numFmtId="0" fontId="2" fillId="0" borderId="1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164" fontId="2" fillId="4" borderId="9" xfId="0" applyNumberFormat="1" applyFont="1" applyFill="1" applyBorder="1"/>
    <xf numFmtId="165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/>
    <xf numFmtId="165" fontId="2" fillId="0" borderId="0" xfId="0" applyNumberFormat="1" applyFont="1" applyFill="1" applyBorder="1"/>
    <xf numFmtId="165" fontId="4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1" xfId="0" applyNumberFormat="1" applyFont="1" applyFill="1" applyBorder="1"/>
    <xf numFmtId="165" fontId="2" fillId="0" borderId="0" xfId="1" applyNumberFormat="1" applyFont="1" applyFill="1" applyBorder="1"/>
    <xf numFmtId="165" fontId="2" fillId="0" borderId="1" xfId="1" applyNumberFormat="1" applyFont="1" applyFill="1" applyBorder="1"/>
    <xf numFmtId="167" fontId="2" fillId="4" borderId="0" xfId="2" applyNumberFormat="1" applyFont="1" applyFill="1" applyBorder="1"/>
    <xf numFmtId="9" fontId="2" fillId="4" borderId="0" xfId="2" applyNumberFormat="1" applyFont="1" applyFill="1" applyBorder="1"/>
    <xf numFmtId="0" fontId="6" fillId="0" borderId="0" xfId="3" applyFill="1" applyBorder="1" applyAlignment="1">
      <alignment horizontal="left"/>
    </xf>
    <xf numFmtId="0" fontId="3" fillId="4" borderId="0" xfId="0" applyFont="1" applyFill="1" applyBorder="1"/>
    <xf numFmtId="17" fontId="2" fillId="4" borderId="0" xfId="0" applyNumberFormat="1" applyFont="1" applyFill="1" applyBorder="1"/>
    <xf numFmtId="165" fontId="3" fillId="4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4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166" fontId="2" fillId="0" borderId="0" xfId="0" applyNumberFormat="1" applyFont="1"/>
    <xf numFmtId="0" fontId="8" fillId="0" borderId="0" xfId="0" applyFont="1"/>
    <xf numFmtId="164" fontId="8" fillId="0" borderId="0" xfId="0" applyNumberFormat="1" applyFont="1"/>
    <xf numFmtId="44" fontId="8" fillId="0" borderId="0" xfId="0" applyNumberFormat="1" applyFont="1"/>
    <xf numFmtId="44" fontId="2" fillId="0" borderId="0" xfId="0" applyNumberFormat="1" applyFont="1"/>
    <xf numFmtId="0" fontId="3" fillId="4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4" borderId="0" xfId="0" applyFont="1" applyFill="1" applyBorder="1"/>
    <xf numFmtId="0" fontId="2" fillId="4" borderId="0" xfId="0" applyFont="1" applyFill="1" applyBorder="1" applyAlignment="1">
      <alignment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'Partial budget and income stat.'!$AE$6</c:f>
              <c:strCache>
                <c:ptCount val="1"/>
                <c:pt idx="0">
                  <c:v>2017</c:v>
                </c:pt>
              </c:strCache>
            </c:strRef>
          </c:tx>
          <c:spPr>
            <a:ln w="38100" cap="flat" cmpd="dbl" algn="ctr">
              <a:solidFill>
                <a:schemeClr val="dk1">
                  <a:tint val="30000"/>
                </a:schemeClr>
              </a:solidFill>
              <a:miter lim="800000"/>
            </a:ln>
            <a:effectLst/>
          </c:spPr>
          <c:marker>
            <c:symbol val="none"/>
          </c:marker>
          <c:cat>
            <c:strRef>
              <c:f>'Partial budget and income stat.'!$Z$7:$Z$18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'Partial budget and income stat.'!$AE$7:$AE$18</c:f>
              <c:numCache>
                <c:formatCode>General</c:formatCode>
                <c:ptCount val="12"/>
                <c:pt idx="0">
                  <c:v>7.55</c:v>
                </c:pt>
                <c:pt idx="1">
                  <c:v>7.25</c:v>
                </c:pt>
                <c:pt idx="2">
                  <c:v>7.55</c:v>
                </c:pt>
                <c:pt idx="3">
                  <c:v>8.25</c:v>
                </c:pt>
                <c:pt idx="4">
                  <c:v>8</c:v>
                </c:pt>
                <c:pt idx="5">
                  <c:v>8.1</c:v>
                </c:pt>
                <c:pt idx="6">
                  <c:v>7.3</c:v>
                </c:pt>
                <c:pt idx="7">
                  <c:v>7.45</c:v>
                </c:pt>
                <c:pt idx="8">
                  <c:v>8.4499999999999993</c:v>
                </c:pt>
                <c:pt idx="9">
                  <c:v>9.6999999999999993</c:v>
                </c:pt>
                <c:pt idx="10">
                  <c:v>11.35</c:v>
                </c:pt>
                <c:pt idx="11">
                  <c:v>11.85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C7-484B-BACD-FA884B258C4A}"/>
            </c:ext>
          </c:extLst>
        </c:ser>
        <c:ser>
          <c:idx val="5"/>
          <c:order val="1"/>
          <c:tx>
            <c:strRef>
              <c:f>'Partial budget and income stat.'!$AG$4</c:f>
              <c:strCache>
                <c:ptCount val="1"/>
                <c:pt idx="0">
                  <c:v>four-year average 2013 - 2016</c:v>
                </c:pt>
              </c:strCache>
            </c:strRef>
          </c:tx>
          <c:spPr>
            <a:ln w="38100" cap="flat" cmpd="dbl" algn="ctr">
              <a:solidFill>
                <a:schemeClr val="dk1">
                  <a:tint val="60000"/>
                </a:schemeClr>
              </a:solidFill>
              <a:miter lim="800000"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'Partial budget and income stat.'!$AH$7:$AH$18</c:f>
                <c:numCache>
                  <c:formatCode>General</c:formatCode>
                  <c:ptCount val="12"/>
                  <c:pt idx="0">
                    <c:v>0.6168214895737667</c:v>
                  </c:pt>
                  <c:pt idx="1">
                    <c:v>0.74749581938630272</c:v>
                  </c:pt>
                  <c:pt idx="2">
                    <c:v>0.5645794895318107</c:v>
                  </c:pt>
                  <c:pt idx="3">
                    <c:v>0.32691742076555064</c:v>
                  </c:pt>
                  <c:pt idx="4">
                    <c:v>0.30516389039334246</c:v>
                  </c:pt>
                  <c:pt idx="5">
                    <c:v>0.73771183398396467</c:v>
                  </c:pt>
                  <c:pt idx="6">
                    <c:v>0.96784231670246634</c:v>
                  </c:pt>
                  <c:pt idx="7">
                    <c:v>0.90484805354269759</c:v>
                  </c:pt>
                  <c:pt idx="8">
                    <c:v>0.8103818544365341</c:v>
                  </c:pt>
                  <c:pt idx="9">
                    <c:v>0.6137741848595456</c:v>
                  </c:pt>
                  <c:pt idx="10">
                    <c:v>0.41907636535600501</c:v>
                  </c:pt>
                  <c:pt idx="11">
                    <c:v>0.41287861412284343</c:v>
                  </c:pt>
                </c:numCache>
              </c:numRef>
            </c:plus>
            <c:minus>
              <c:numRef>
                <c:f>'Partial budget and income stat.'!$AH$7:$AH$18</c:f>
                <c:numCache>
                  <c:formatCode>General</c:formatCode>
                  <c:ptCount val="12"/>
                  <c:pt idx="0">
                    <c:v>0.6168214895737667</c:v>
                  </c:pt>
                  <c:pt idx="1">
                    <c:v>0.74749581938630272</c:v>
                  </c:pt>
                  <c:pt idx="2">
                    <c:v>0.5645794895318107</c:v>
                  </c:pt>
                  <c:pt idx="3">
                    <c:v>0.32691742076555064</c:v>
                  </c:pt>
                  <c:pt idx="4">
                    <c:v>0.30516389039334246</c:v>
                  </c:pt>
                  <c:pt idx="5">
                    <c:v>0.73771183398396467</c:v>
                  </c:pt>
                  <c:pt idx="6">
                    <c:v>0.96784231670246634</c:v>
                  </c:pt>
                  <c:pt idx="7">
                    <c:v>0.90484805354269759</c:v>
                  </c:pt>
                  <c:pt idx="8">
                    <c:v>0.8103818544365341</c:v>
                  </c:pt>
                  <c:pt idx="9">
                    <c:v>0.6137741848595456</c:v>
                  </c:pt>
                  <c:pt idx="10">
                    <c:v>0.41907636535600501</c:v>
                  </c:pt>
                  <c:pt idx="11">
                    <c:v>0.41287861412284343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errBars>
          <c:cat>
            <c:strRef>
              <c:f>'Partial budget and income stat.'!$Z$7:$Z$18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'Partial budget and income stat.'!$AG$7:$AG$18</c:f>
              <c:numCache>
                <c:formatCode>General</c:formatCode>
                <c:ptCount val="12"/>
                <c:pt idx="0">
                  <c:v>8.1374999999999993</c:v>
                </c:pt>
                <c:pt idx="1">
                  <c:v>8.3000000000000007</c:v>
                </c:pt>
                <c:pt idx="2">
                  <c:v>8.6</c:v>
                </c:pt>
                <c:pt idx="3">
                  <c:v>7.5750000000000011</c:v>
                </c:pt>
                <c:pt idx="4">
                  <c:v>7.0250000000000004</c:v>
                </c:pt>
                <c:pt idx="5">
                  <c:v>7.3375000000000004</c:v>
                </c:pt>
                <c:pt idx="6">
                  <c:v>7.4125000000000005</c:v>
                </c:pt>
                <c:pt idx="7">
                  <c:v>7.2999999999999989</c:v>
                </c:pt>
                <c:pt idx="8">
                  <c:v>7.5875000000000004</c:v>
                </c:pt>
                <c:pt idx="9">
                  <c:v>7.6624999999999996</c:v>
                </c:pt>
                <c:pt idx="10">
                  <c:v>7.8250000000000002</c:v>
                </c:pt>
                <c:pt idx="11">
                  <c:v>8.0875000000000004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C7-484B-BACD-FA884B258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372280"/>
        <c:axId val="338901808"/>
      </c:lineChart>
      <c:catAx>
        <c:axId val="630372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1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 i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1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38901808"/>
        <c:crosses val="autoZero"/>
        <c:auto val="1"/>
        <c:lblAlgn val="ctr"/>
        <c:lblOffset val="100"/>
        <c:noMultiLvlLbl val="0"/>
      </c:catAx>
      <c:valAx>
        <c:axId val="338901808"/>
        <c:scaling>
          <c:orientation val="minMax"/>
          <c:max val="12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1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GB" i="1"/>
                  <a:t>Egg price (€ / 100 eggs)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1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30372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2600</xdr:colOff>
      <xdr:row>20</xdr:row>
      <xdr:rowOff>0</xdr:rowOff>
    </xdr:from>
    <xdr:to>
      <xdr:col>35</xdr:col>
      <xdr:colOff>539296</xdr:colOff>
      <xdr:row>37</xdr:row>
      <xdr:rowOff>147687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C1AB1BF-2EB6-4494-BE6F-1C50659437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grimatie.nl/Prijzen.aspx?ID=15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zoomScale="85" zoomScaleNormal="85" workbookViewId="0">
      <selection activeCell="A15" sqref="A15:XFD15"/>
    </sheetView>
  </sheetViews>
  <sheetFormatPr defaultRowHeight="15" x14ac:dyDescent="0.25"/>
  <cols>
    <col min="1" max="1" width="10.7109375" style="59" bestFit="1" customWidth="1"/>
    <col min="2" max="2" width="36.5703125" style="59" bestFit="1" customWidth="1"/>
    <col min="3" max="3" width="43.42578125" style="59" bestFit="1" customWidth="1"/>
    <col min="4" max="4" width="29" style="59" bestFit="1" customWidth="1"/>
    <col min="5" max="5" width="38" style="59" bestFit="1" customWidth="1"/>
    <col min="6" max="6" width="18.85546875" style="59" bestFit="1" customWidth="1"/>
    <col min="7" max="7" width="19.5703125" style="59" bestFit="1" customWidth="1"/>
    <col min="8" max="8" width="13.28515625" style="59" bestFit="1" customWidth="1"/>
    <col min="9" max="9" width="14.140625" style="59" bestFit="1" customWidth="1"/>
    <col min="10" max="10" width="13.28515625" style="59" bestFit="1" customWidth="1"/>
    <col min="11" max="11" width="14.140625" style="59" bestFit="1" customWidth="1"/>
    <col min="12" max="12" width="9.140625" style="59"/>
    <col min="13" max="15" width="13.5703125" style="59" bestFit="1" customWidth="1"/>
    <col min="16" max="16" width="14.28515625" style="59" bestFit="1" customWidth="1"/>
    <col min="17" max="16384" width="9.140625" style="59"/>
  </cols>
  <sheetData>
    <row r="1" spans="1:16" x14ac:dyDescent="0.25">
      <c r="A1" s="59" t="s">
        <v>10</v>
      </c>
      <c r="G1" s="59" t="s">
        <v>11</v>
      </c>
      <c r="H1" s="59">
        <v>2016</v>
      </c>
      <c r="I1" s="59">
        <v>2015</v>
      </c>
      <c r="J1" s="59">
        <v>2014</v>
      </c>
      <c r="K1" s="59">
        <v>2013</v>
      </c>
      <c r="M1" s="59" t="s">
        <v>63</v>
      </c>
    </row>
    <row r="2" spans="1:16" x14ac:dyDescent="0.25">
      <c r="B2" s="59" t="s">
        <v>12</v>
      </c>
    </row>
    <row r="3" spans="1:16" x14ac:dyDescent="0.25">
      <c r="C3" s="59" t="s">
        <v>13</v>
      </c>
      <c r="G3" s="59" t="s">
        <v>14</v>
      </c>
      <c r="H3" s="60">
        <v>916200</v>
      </c>
      <c r="I3" s="60">
        <v>1029200</v>
      </c>
      <c r="J3" s="60">
        <v>920300</v>
      </c>
      <c r="K3" s="60">
        <v>935500</v>
      </c>
      <c r="M3" s="60">
        <f>AVERAGE(H3:K3)</f>
        <v>950300</v>
      </c>
    </row>
    <row r="4" spans="1:16" x14ac:dyDescent="0.25">
      <c r="D4" s="59" t="s">
        <v>15</v>
      </c>
      <c r="G4" s="59" t="s">
        <v>14</v>
      </c>
      <c r="H4" s="60">
        <v>1900</v>
      </c>
      <c r="I4" s="60">
        <v>2700</v>
      </c>
      <c r="J4" s="60">
        <v>3400</v>
      </c>
      <c r="K4" s="60">
        <v>4200</v>
      </c>
      <c r="M4" s="60">
        <f t="shared" ref="M4:M50" si="0">AVERAGE(H4:K4)</f>
        <v>3050</v>
      </c>
    </row>
    <row r="5" spans="1:16" x14ac:dyDescent="0.25">
      <c r="E5" s="59" t="s">
        <v>16</v>
      </c>
      <c r="G5" s="59" t="s">
        <v>14</v>
      </c>
      <c r="H5" s="60">
        <v>0</v>
      </c>
      <c r="I5" s="60">
        <v>0</v>
      </c>
      <c r="J5" s="60">
        <v>100</v>
      </c>
      <c r="K5" s="60">
        <v>800</v>
      </c>
      <c r="M5" s="60">
        <f t="shared" si="0"/>
        <v>225</v>
      </c>
    </row>
    <row r="6" spans="1:16" x14ac:dyDescent="0.25">
      <c r="E6" s="59" t="s">
        <v>17</v>
      </c>
      <c r="G6" s="59" t="s">
        <v>14</v>
      </c>
      <c r="H6" s="60">
        <v>0</v>
      </c>
      <c r="I6" s="60">
        <v>0</v>
      </c>
      <c r="J6" s="60">
        <v>400</v>
      </c>
      <c r="K6" s="60">
        <v>600</v>
      </c>
      <c r="M6" s="60">
        <f t="shared" si="0"/>
        <v>250</v>
      </c>
    </row>
    <row r="7" spans="1:16" x14ac:dyDescent="0.25">
      <c r="D7" s="59" t="s">
        <v>18</v>
      </c>
      <c r="G7" s="59" t="s">
        <v>14</v>
      </c>
      <c r="H7" s="60">
        <v>14400</v>
      </c>
      <c r="I7" s="60">
        <v>25200</v>
      </c>
      <c r="J7" s="60">
        <v>29700</v>
      </c>
      <c r="K7" s="60">
        <v>20900</v>
      </c>
      <c r="M7" s="60">
        <f t="shared" si="0"/>
        <v>22550</v>
      </c>
    </row>
    <row r="8" spans="1:16" x14ac:dyDescent="0.25">
      <c r="E8" s="59" t="s">
        <v>19</v>
      </c>
      <c r="G8" s="59" t="s">
        <v>14</v>
      </c>
      <c r="H8" s="60">
        <v>13200</v>
      </c>
      <c r="I8" s="60">
        <v>21900</v>
      </c>
      <c r="J8" s="60">
        <v>25100</v>
      </c>
      <c r="K8" s="60">
        <v>16600</v>
      </c>
      <c r="M8" s="60">
        <f t="shared" si="0"/>
        <v>19200</v>
      </c>
      <c r="N8" s="60"/>
    </row>
    <row r="9" spans="1:16" x14ac:dyDescent="0.25">
      <c r="E9" s="59" t="s">
        <v>20</v>
      </c>
      <c r="G9" s="59" t="s">
        <v>14</v>
      </c>
      <c r="H9" s="60">
        <v>1300</v>
      </c>
      <c r="I9" s="60">
        <v>3300</v>
      </c>
      <c r="J9" s="60">
        <v>4600</v>
      </c>
      <c r="K9" s="60">
        <v>4300</v>
      </c>
      <c r="M9" s="60">
        <f t="shared" si="0"/>
        <v>3375</v>
      </c>
    </row>
    <row r="10" spans="1:16" x14ac:dyDescent="0.25">
      <c r="D10" s="59" t="s">
        <v>21</v>
      </c>
      <c r="G10" s="59" t="s">
        <v>14</v>
      </c>
      <c r="H10" s="60">
        <v>818500</v>
      </c>
      <c r="I10" s="60">
        <v>939400</v>
      </c>
      <c r="J10" s="60">
        <v>810200</v>
      </c>
      <c r="K10" s="60">
        <v>854700</v>
      </c>
      <c r="M10" s="60">
        <f t="shared" si="0"/>
        <v>855700</v>
      </c>
    </row>
    <row r="11" spans="1:16" x14ac:dyDescent="0.25">
      <c r="E11" s="59" t="s">
        <v>22</v>
      </c>
      <c r="G11" s="59" t="s">
        <v>14</v>
      </c>
      <c r="H11" s="60">
        <v>-143200</v>
      </c>
      <c r="I11" s="60">
        <v>-86300</v>
      </c>
      <c r="J11" s="60">
        <v>-126000</v>
      </c>
      <c r="K11" s="60">
        <v>-171100</v>
      </c>
      <c r="M11" s="60">
        <f t="shared" si="0"/>
        <v>-131650</v>
      </c>
    </row>
    <row r="12" spans="1:16" x14ac:dyDescent="0.25">
      <c r="F12" s="59" t="s">
        <v>23</v>
      </c>
      <c r="G12" s="59" t="s">
        <v>14</v>
      </c>
      <c r="H12" s="60">
        <v>2900</v>
      </c>
      <c r="I12" s="60">
        <v>19000</v>
      </c>
      <c r="J12" s="60">
        <v>20900</v>
      </c>
      <c r="K12" s="60">
        <v>22200</v>
      </c>
      <c r="M12" s="60">
        <f t="shared" si="0"/>
        <v>16250</v>
      </c>
      <c r="N12" s="60"/>
      <c r="O12" s="60"/>
    </row>
    <row r="13" spans="1:16" x14ac:dyDescent="0.25">
      <c r="F13" s="59" t="s">
        <v>24</v>
      </c>
      <c r="G13" s="59" t="s">
        <v>14</v>
      </c>
      <c r="H13" s="60">
        <v>94200</v>
      </c>
      <c r="I13" s="60">
        <v>166300</v>
      </c>
      <c r="J13" s="60">
        <v>150400</v>
      </c>
      <c r="K13" s="60">
        <v>160400</v>
      </c>
      <c r="M13" s="60">
        <f t="shared" si="0"/>
        <v>142825</v>
      </c>
      <c r="N13" s="60"/>
    </row>
    <row r="14" spans="1:16" x14ac:dyDescent="0.25">
      <c r="F14" s="59" t="s">
        <v>25</v>
      </c>
      <c r="G14" s="59" t="s">
        <v>14</v>
      </c>
      <c r="H14" s="60">
        <v>-51900</v>
      </c>
      <c r="I14" s="60">
        <v>61100</v>
      </c>
      <c r="J14" s="60">
        <v>3500</v>
      </c>
      <c r="K14" s="60">
        <v>-32900</v>
      </c>
      <c r="M14" s="60">
        <f t="shared" si="0"/>
        <v>-5050</v>
      </c>
      <c r="O14" s="60"/>
      <c r="P14" s="61"/>
    </row>
    <row r="15" spans="1:16" x14ac:dyDescent="0.25">
      <c r="E15" s="59" t="s">
        <v>26</v>
      </c>
      <c r="G15" s="59" t="s">
        <v>14</v>
      </c>
      <c r="H15" s="60">
        <v>961700</v>
      </c>
      <c r="I15" s="60">
        <v>1025700</v>
      </c>
      <c r="J15" s="60">
        <v>936200</v>
      </c>
      <c r="K15" s="60">
        <v>1025800</v>
      </c>
      <c r="M15" s="60">
        <f t="shared" si="0"/>
        <v>987350</v>
      </c>
    </row>
    <row r="16" spans="1:16" x14ac:dyDescent="0.25">
      <c r="D16" s="59" t="s">
        <v>27</v>
      </c>
      <c r="G16" s="59" t="s">
        <v>14</v>
      </c>
      <c r="H16" s="60">
        <v>81300</v>
      </c>
      <c r="I16" s="60">
        <v>61800</v>
      </c>
      <c r="J16" s="60">
        <v>77100</v>
      </c>
      <c r="K16" s="60">
        <v>55600</v>
      </c>
      <c r="M16" s="60">
        <f t="shared" si="0"/>
        <v>68950</v>
      </c>
    </row>
    <row r="17" spans="2:15" x14ac:dyDescent="0.25">
      <c r="E17" s="59" t="s">
        <v>28</v>
      </c>
      <c r="G17" s="59" t="s">
        <v>14</v>
      </c>
      <c r="H17" s="60">
        <v>5900</v>
      </c>
      <c r="I17" s="60">
        <v>6000</v>
      </c>
      <c r="J17" s="60">
        <v>8400</v>
      </c>
      <c r="K17" s="60">
        <v>4400</v>
      </c>
      <c r="M17" s="60">
        <f t="shared" si="0"/>
        <v>6175</v>
      </c>
    </row>
    <row r="18" spans="2:15" x14ac:dyDescent="0.25">
      <c r="E18" s="59" t="s">
        <v>29</v>
      </c>
      <c r="G18" s="59" t="s">
        <v>14</v>
      </c>
      <c r="H18" s="60">
        <v>100</v>
      </c>
      <c r="I18" s="60">
        <v>0</v>
      </c>
      <c r="J18" s="60">
        <v>100</v>
      </c>
      <c r="K18" s="60">
        <v>0</v>
      </c>
      <c r="M18" s="60">
        <f t="shared" si="0"/>
        <v>50</v>
      </c>
    </row>
    <row r="19" spans="2:15" x14ac:dyDescent="0.25">
      <c r="E19" s="59" t="s">
        <v>30</v>
      </c>
      <c r="G19" s="59" t="s">
        <v>14</v>
      </c>
      <c r="H19" s="60">
        <v>3800</v>
      </c>
      <c r="I19" s="60">
        <v>6000</v>
      </c>
      <c r="J19" s="60">
        <v>12900</v>
      </c>
      <c r="K19" s="60">
        <v>3400</v>
      </c>
      <c r="M19" s="60">
        <f t="shared" si="0"/>
        <v>6525</v>
      </c>
    </row>
    <row r="20" spans="2:15" x14ac:dyDescent="0.25">
      <c r="E20" s="59" t="s">
        <v>31</v>
      </c>
      <c r="G20" s="59" t="s">
        <v>14</v>
      </c>
      <c r="H20" s="60">
        <v>1300</v>
      </c>
      <c r="I20" s="60">
        <v>2200</v>
      </c>
      <c r="J20" s="60">
        <v>1600</v>
      </c>
      <c r="K20" s="60">
        <v>1000</v>
      </c>
      <c r="M20" s="60">
        <f t="shared" si="0"/>
        <v>1525</v>
      </c>
    </row>
    <row r="21" spans="2:15" x14ac:dyDescent="0.25">
      <c r="B21" s="59" t="s">
        <v>32</v>
      </c>
      <c r="M21" s="60"/>
    </row>
    <row r="22" spans="2:15" x14ac:dyDescent="0.25">
      <c r="C22" s="59" t="s">
        <v>33</v>
      </c>
      <c r="G22" s="59" t="s">
        <v>14</v>
      </c>
      <c r="H22" s="60">
        <v>815100</v>
      </c>
      <c r="I22" s="60">
        <v>899000</v>
      </c>
      <c r="J22" s="60">
        <v>900200</v>
      </c>
      <c r="K22" s="60">
        <v>1048100</v>
      </c>
      <c r="M22" s="60">
        <f t="shared" si="0"/>
        <v>915600</v>
      </c>
    </row>
    <row r="23" spans="2:15" x14ac:dyDescent="0.25">
      <c r="D23" s="59" t="s">
        <v>34</v>
      </c>
      <c r="G23" s="59" t="s">
        <v>14</v>
      </c>
      <c r="H23" s="60">
        <v>556700</v>
      </c>
      <c r="I23" s="60">
        <v>605200</v>
      </c>
      <c r="J23" s="60">
        <v>609500</v>
      </c>
      <c r="K23" s="60">
        <v>752200</v>
      </c>
      <c r="M23" s="60">
        <f t="shared" si="0"/>
        <v>630900</v>
      </c>
      <c r="N23" s="60"/>
    </row>
    <row r="24" spans="2:15" x14ac:dyDescent="0.25">
      <c r="E24" s="59" t="s">
        <v>35</v>
      </c>
      <c r="G24" s="59" t="s">
        <v>14</v>
      </c>
      <c r="H24" s="60">
        <v>524500</v>
      </c>
      <c r="I24" s="60">
        <v>567800</v>
      </c>
      <c r="J24" s="60">
        <v>573900</v>
      </c>
      <c r="K24" s="60">
        <v>718800</v>
      </c>
      <c r="M24" s="60">
        <f t="shared" si="0"/>
        <v>596250</v>
      </c>
      <c r="N24" s="60"/>
    </row>
    <row r="25" spans="2:15" x14ac:dyDescent="0.25">
      <c r="E25" s="59" t="s">
        <v>36</v>
      </c>
      <c r="G25" s="59" t="s">
        <v>14</v>
      </c>
      <c r="H25" s="60">
        <v>600</v>
      </c>
      <c r="I25" s="60">
        <v>1200</v>
      </c>
      <c r="J25" s="60">
        <v>1400</v>
      </c>
      <c r="K25" s="60">
        <v>1100</v>
      </c>
      <c r="M25" s="60">
        <f t="shared" si="0"/>
        <v>1075</v>
      </c>
    </row>
    <row r="26" spans="2:15" x14ac:dyDescent="0.25">
      <c r="E26" s="59" t="s">
        <v>37</v>
      </c>
      <c r="G26" s="59" t="s">
        <v>14</v>
      </c>
      <c r="H26" s="60">
        <v>400</v>
      </c>
      <c r="I26" s="60">
        <v>400</v>
      </c>
      <c r="J26" s="60">
        <v>800</v>
      </c>
      <c r="K26" s="60">
        <v>700</v>
      </c>
      <c r="M26" s="60">
        <f t="shared" si="0"/>
        <v>575</v>
      </c>
    </row>
    <row r="27" spans="2:15" x14ac:dyDescent="0.25">
      <c r="E27" s="59" t="s">
        <v>38</v>
      </c>
      <c r="G27" s="59" t="s">
        <v>14</v>
      </c>
      <c r="H27" s="60">
        <v>400</v>
      </c>
      <c r="I27" s="60">
        <v>600</v>
      </c>
      <c r="J27" s="60">
        <v>600</v>
      </c>
      <c r="K27" s="60">
        <v>600</v>
      </c>
      <c r="M27" s="60">
        <f t="shared" si="0"/>
        <v>550</v>
      </c>
      <c r="O27" s="60"/>
    </row>
    <row r="28" spans="2:15" x14ac:dyDescent="0.25">
      <c r="E28" s="59" t="s">
        <v>39</v>
      </c>
      <c r="G28" s="59" t="s">
        <v>14</v>
      </c>
      <c r="H28" s="60">
        <v>8800</v>
      </c>
      <c r="I28" s="60">
        <v>11000</v>
      </c>
      <c r="J28" s="60">
        <v>10000</v>
      </c>
      <c r="K28" s="60">
        <v>8700</v>
      </c>
      <c r="M28" s="60">
        <f t="shared" si="0"/>
        <v>9625</v>
      </c>
    </row>
    <row r="29" spans="2:15" x14ac:dyDescent="0.25">
      <c r="D29" s="59" t="s">
        <v>40</v>
      </c>
      <c r="G29" s="59" t="s">
        <v>14</v>
      </c>
      <c r="H29" s="60">
        <v>13900</v>
      </c>
      <c r="I29" s="60">
        <v>17900</v>
      </c>
      <c r="J29" s="60">
        <v>18800</v>
      </c>
      <c r="K29" s="60">
        <v>19100</v>
      </c>
      <c r="M29" s="60">
        <f t="shared" si="0"/>
        <v>17425</v>
      </c>
    </row>
    <row r="30" spans="2:15" x14ac:dyDescent="0.25">
      <c r="E30" s="59" t="s">
        <v>41</v>
      </c>
      <c r="G30" s="59" t="s">
        <v>14</v>
      </c>
      <c r="H30" s="60">
        <v>13000</v>
      </c>
      <c r="I30" s="60">
        <v>16500</v>
      </c>
      <c r="J30" s="60">
        <v>17800</v>
      </c>
      <c r="K30" s="60">
        <v>17900</v>
      </c>
      <c r="M30" s="60">
        <f t="shared" si="0"/>
        <v>16300</v>
      </c>
      <c r="N30" s="60"/>
    </row>
    <row r="31" spans="2:15" x14ac:dyDescent="0.25">
      <c r="E31" s="59" t="s">
        <v>42</v>
      </c>
      <c r="G31" s="59" t="s">
        <v>14</v>
      </c>
      <c r="H31" s="60">
        <v>800</v>
      </c>
      <c r="I31" s="60">
        <v>1000</v>
      </c>
      <c r="J31" s="60">
        <v>700</v>
      </c>
      <c r="K31" s="60">
        <v>700</v>
      </c>
      <c r="M31" s="60">
        <f t="shared" si="0"/>
        <v>800</v>
      </c>
    </row>
    <row r="32" spans="2:15" x14ac:dyDescent="0.25">
      <c r="D32" s="59" t="s">
        <v>43</v>
      </c>
      <c r="G32" s="59" t="s">
        <v>14</v>
      </c>
      <c r="H32" s="60">
        <v>5700</v>
      </c>
      <c r="I32" s="60">
        <v>11300</v>
      </c>
      <c r="J32" s="60">
        <v>8400</v>
      </c>
      <c r="K32" s="60">
        <v>4700</v>
      </c>
      <c r="M32" s="60">
        <f t="shared" si="0"/>
        <v>7525</v>
      </c>
    </row>
    <row r="33" spans="2:13" x14ac:dyDescent="0.25">
      <c r="D33" s="59" t="s">
        <v>44</v>
      </c>
      <c r="G33" s="59" t="s">
        <v>14</v>
      </c>
      <c r="H33" s="60">
        <v>113900</v>
      </c>
      <c r="I33" s="60">
        <v>131700</v>
      </c>
      <c r="J33" s="60">
        <v>138100</v>
      </c>
      <c r="K33" s="60">
        <v>150700</v>
      </c>
      <c r="M33" s="60">
        <f t="shared" si="0"/>
        <v>133600</v>
      </c>
    </row>
    <row r="34" spans="2:13" x14ac:dyDescent="0.25">
      <c r="E34" s="59" t="s">
        <v>45</v>
      </c>
      <c r="G34" s="59" t="s">
        <v>14</v>
      </c>
      <c r="H34" s="60">
        <v>600</v>
      </c>
      <c r="I34" s="60">
        <v>1400</v>
      </c>
      <c r="J34" s="60">
        <v>1600</v>
      </c>
      <c r="K34" s="60">
        <v>1700</v>
      </c>
      <c r="M34" s="60">
        <f t="shared" si="0"/>
        <v>1325</v>
      </c>
    </row>
    <row r="35" spans="2:13" x14ac:dyDescent="0.25">
      <c r="E35" s="59" t="s">
        <v>46</v>
      </c>
      <c r="G35" s="59" t="s">
        <v>14</v>
      </c>
      <c r="H35" s="60">
        <v>60100</v>
      </c>
      <c r="I35" s="60">
        <v>68200</v>
      </c>
      <c r="J35" s="60">
        <v>76100</v>
      </c>
      <c r="K35" s="60">
        <v>81600</v>
      </c>
      <c r="M35" s="60">
        <f t="shared" si="0"/>
        <v>71500</v>
      </c>
    </row>
    <row r="36" spans="2:13" x14ac:dyDescent="0.25">
      <c r="E36" s="59" t="s">
        <v>47</v>
      </c>
      <c r="G36" s="59" t="s">
        <v>14</v>
      </c>
      <c r="H36" s="60">
        <v>19500</v>
      </c>
      <c r="I36" s="60">
        <v>22700</v>
      </c>
      <c r="J36" s="60">
        <v>22600</v>
      </c>
      <c r="K36" s="60">
        <v>25000</v>
      </c>
      <c r="M36" s="60">
        <f t="shared" si="0"/>
        <v>22450</v>
      </c>
    </row>
    <row r="37" spans="2:13" x14ac:dyDescent="0.25">
      <c r="E37" s="59" t="s">
        <v>48</v>
      </c>
      <c r="G37" s="59" t="s">
        <v>14</v>
      </c>
      <c r="H37" s="60">
        <v>4100</v>
      </c>
      <c r="I37" s="60">
        <v>5500</v>
      </c>
      <c r="J37" s="60">
        <v>5800</v>
      </c>
      <c r="K37" s="60">
        <v>5600</v>
      </c>
      <c r="M37" s="60">
        <f t="shared" si="0"/>
        <v>5250</v>
      </c>
    </row>
    <row r="38" spans="2:13" x14ac:dyDescent="0.25">
      <c r="E38" s="59" t="s">
        <v>49</v>
      </c>
      <c r="G38" s="59" t="s">
        <v>14</v>
      </c>
      <c r="H38" s="60">
        <v>21700</v>
      </c>
      <c r="I38" s="60">
        <v>24800</v>
      </c>
      <c r="J38" s="60">
        <v>21400</v>
      </c>
      <c r="K38" s="60">
        <v>25000</v>
      </c>
      <c r="M38" s="60">
        <f t="shared" si="0"/>
        <v>23225</v>
      </c>
    </row>
    <row r="39" spans="2:13" x14ac:dyDescent="0.25">
      <c r="D39" s="59" t="s">
        <v>50</v>
      </c>
      <c r="G39" s="59" t="s">
        <v>14</v>
      </c>
      <c r="H39" s="60">
        <v>54900</v>
      </c>
      <c r="I39" s="60">
        <v>52100</v>
      </c>
      <c r="J39" s="60">
        <v>41600</v>
      </c>
      <c r="K39" s="60">
        <v>39600</v>
      </c>
      <c r="M39" s="60">
        <f t="shared" si="0"/>
        <v>47050</v>
      </c>
    </row>
    <row r="40" spans="2:13" x14ac:dyDescent="0.25">
      <c r="D40" s="59" t="s">
        <v>51</v>
      </c>
      <c r="G40" s="59" t="s">
        <v>14</v>
      </c>
      <c r="H40" s="60">
        <v>1800</v>
      </c>
      <c r="I40" s="60">
        <v>2700</v>
      </c>
      <c r="J40" s="60">
        <v>2800</v>
      </c>
      <c r="K40" s="60">
        <v>2800</v>
      </c>
      <c r="M40" s="60">
        <f t="shared" si="0"/>
        <v>2525</v>
      </c>
    </row>
    <row r="41" spans="2:13" x14ac:dyDescent="0.25">
      <c r="D41" s="59" t="s">
        <v>52</v>
      </c>
      <c r="G41" s="59" t="s">
        <v>14</v>
      </c>
      <c r="H41" s="60">
        <v>34900</v>
      </c>
      <c r="I41" s="60">
        <v>45100</v>
      </c>
      <c r="J41" s="60">
        <v>48300</v>
      </c>
      <c r="K41" s="60">
        <v>45600</v>
      </c>
      <c r="M41" s="60">
        <f t="shared" si="0"/>
        <v>43475</v>
      </c>
    </row>
    <row r="42" spans="2:13" x14ac:dyDescent="0.25">
      <c r="E42" s="59" t="s">
        <v>53</v>
      </c>
      <c r="G42" s="59" t="s">
        <v>14</v>
      </c>
      <c r="H42" s="60">
        <v>33100</v>
      </c>
      <c r="I42" s="60">
        <v>43400</v>
      </c>
      <c r="J42" s="60">
        <v>45800</v>
      </c>
      <c r="K42" s="60">
        <v>43800</v>
      </c>
      <c r="M42" s="60">
        <f t="shared" si="0"/>
        <v>41525</v>
      </c>
    </row>
    <row r="43" spans="2:13" x14ac:dyDescent="0.25">
      <c r="D43" s="59" t="s">
        <v>54</v>
      </c>
      <c r="G43" s="59" t="s">
        <v>14</v>
      </c>
      <c r="H43" s="60">
        <v>33300</v>
      </c>
      <c r="I43" s="60">
        <v>33000</v>
      </c>
      <c r="J43" s="60">
        <v>32700</v>
      </c>
      <c r="K43" s="60">
        <v>33300</v>
      </c>
      <c r="M43" s="60">
        <f t="shared" si="0"/>
        <v>33075</v>
      </c>
    </row>
    <row r="44" spans="2:13" x14ac:dyDescent="0.25">
      <c r="B44" s="59" t="s">
        <v>55</v>
      </c>
      <c r="M44" s="60"/>
    </row>
    <row r="45" spans="2:13" x14ac:dyDescent="0.25">
      <c r="C45" s="59" t="s">
        <v>56</v>
      </c>
      <c r="G45" s="59" t="s">
        <v>14</v>
      </c>
      <c r="H45" s="60">
        <v>101100</v>
      </c>
      <c r="I45" s="60">
        <v>130200</v>
      </c>
      <c r="J45" s="60">
        <v>20200</v>
      </c>
      <c r="K45" s="60">
        <v>-112600</v>
      </c>
      <c r="M45" s="60">
        <f t="shared" si="0"/>
        <v>34725</v>
      </c>
    </row>
    <row r="46" spans="2:13" x14ac:dyDescent="0.25">
      <c r="C46" s="59" t="s">
        <v>57</v>
      </c>
      <c r="G46" s="59" t="s">
        <v>14</v>
      </c>
      <c r="H46" s="60">
        <v>200</v>
      </c>
      <c r="I46" s="60">
        <v>800</v>
      </c>
      <c r="J46" s="60">
        <v>200</v>
      </c>
      <c r="K46" s="60">
        <v>-200</v>
      </c>
      <c r="M46" s="60">
        <f t="shared" si="0"/>
        <v>250</v>
      </c>
    </row>
    <row r="47" spans="2:13" x14ac:dyDescent="0.25">
      <c r="C47" s="59" t="s">
        <v>58</v>
      </c>
      <c r="G47" s="59" t="s">
        <v>14</v>
      </c>
      <c r="H47" s="60">
        <v>101300</v>
      </c>
      <c r="I47" s="60">
        <v>131000</v>
      </c>
      <c r="J47" s="60">
        <v>20400</v>
      </c>
      <c r="K47" s="60">
        <v>-112800</v>
      </c>
      <c r="M47" s="60">
        <f t="shared" si="0"/>
        <v>34975</v>
      </c>
    </row>
    <row r="48" spans="2:13" x14ac:dyDescent="0.25">
      <c r="C48" s="59" t="s">
        <v>59</v>
      </c>
      <c r="G48" s="59" t="s">
        <v>60</v>
      </c>
      <c r="H48" s="60">
        <v>59400</v>
      </c>
      <c r="I48" s="60">
        <v>80700</v>
      </c>
      <c r="J48" s="60">
        <v>12300</v>
      </c>
      <c r="K48" s="60">
        <v>-70800</v>
      </c>
      <c r="M48" s="60">
        <f t="shared" si="0"/>
        <v>20400</v>
      </c>
    </row>
    <row r="49" spans="3:13" x14ac:dyDescent="0.25">
      <c r="C49" s="59" t="s">
        <v>61</v>
      </c>
      <c r="G49" s="59" t="s">
        <v>14</v>
      </c>
      <c r="H49" s="60">
        <v>59400</v>
      </c>
      <c r="I49" s="60">
        <v>80700</v>
      </c>
      <c r="J49" s="60">
        <v>12300</v>
      </c>
      <c r="K49" s="60">
        <v>-70800</v>
      </c>
      <c r="M49" s="60">
        <f t="shared" si="0"/>
        <v>20400</v>
      </c>
    </row>
    <row r="50" spans="3:13" x14ac:dyDescent="0.25">
      <c r="C50" s="59" t="s">
        <v>62</v>
      </c>
      <c r="G50" s="59" t="s">
        <v>14</v>
      </c>
      <c r="H50" s="60">
        <v>24000</v>
      </c>
      <c r="I50" s="60">
        <v>32000</v>
      </c>
      <c r="J50" s="60">
        <v>22700</v>
      </c>
      <c r="K50" s="60">
        <v>20100</v>
      </c>
      <c r="M50" s="60">
        <f t="shared" si="0"/>
        <v>24700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8"/>
  <sheetViews>
    <sheetView tabSelected="1" zoomScale="55" zoomScaleNormal="55" workbookViewId="0">
      <selection activeCell="S68" sqref="S68"/>
    </sheetView>
  </sheetViews>
  <sheetFormatPr defaultRowHeight="12.75" x14ac:dyDescent="0.2"/>
  <cols>
    <col min="1" max="1" width="1.85546875" style="4" customWidth="1"/>
    <col min="2" max="2" width="32.28515625" style="4" bestFit="1" customWidth="1"/>
    <col min="3" max="3" width="14.5703125" style="37" bestFit="1" customWidth="1"/>
    <col min="4" max="4" width="12.85546875" style="37" bestFit="1" customWidth="1"/>
    <col min="5" max="5" width="1.85546875" style="4" customWidth="1"/>
    <col min="6" max="6" width="26.140625" style="4" bestFit="1" customWidth="1"/>
    <col min="7" max="8" width="14.5703125" style="4" bestFit="1" customWidth="1"/>
    <col min="9" max="9" width="13.5703125" style="4" bestFit="1" customWidth="1"/>
    <col min="10" max="10" width="1.85546875" style="38" customWidth="1"/>
    <col min="11" max="12" width="1.85546875" style="4" customWidth="1"/>
    <col min="13" max="13" width="45.42578125" style="4" customWidth="1"/>
    <col min="14" max="14" width="8" style="4" bestFit="1" customWidth="1"/>
    <col min="15" max="15" width="6.42578125" style="4" bestFit="1" customWidth="1"/>
    <col min="16" max="16" width="13.85546875" style="4" customWidth="1"/>
    <col min="17" max="17" width="35.85546875" style="4" customWidth="1"/>
    <col min="18" max="18" width="1.85546875" style="4" customWidth="1"/>
    <col min="19" max="19" width="35.5703125" style="4" bestFit="1" customWidth="1"/>
    <col min="20" max="20" width="34.28515625" style="4" bestFit="1" customWidth="1"/>
    <col min="21" max="21" width="16.140625" style="4" bestFit="1" customWidth="1"/>
    <col min="22" max="22" width="14.140625" style="4" bestFit="1" customWidth="1"/>
    <col min="23" max="23" width="1.85546875" style="4" customWidth="1"/>
    <col min="24" max="24" width="1.85546875" style="38" customWidth="1"/>
    <col min="25" max="25" width="1.85546875" style="4" customWidth="1"/>
    <col min="26" max="36" width="9.140625" style="4"/>
    <col min="37" max="37" width="1.85546875" style="4" customWidth="1"/>
    <col min="38" max="38" width="16" style="4" bestFit="1" customWidth="1"/>
    <col min="39" max="16384" width="9.140625" style="4"/>
  </cols>
  <sheetData>
    <row r="1" spans="1:37" x14ac:dyDescent="0.2">
      <c r="A1" s="6"/>
      <c r="B1" s="6"/>
      <c r="C1" s="6"/>
      <c r="D1" s="6"/>
      <c r="E1" s="6"/>
      <c r="F1" s="6"/>
      <c r="G1" s="6"/>
      <c r="H1" s="6"/>
      <c r="I1" s="6"/>
      <c r="J1" s="9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10"/>
      <c r="Y1" s="1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 x14ac:dyDescent="0.2">
      <c r="B2" s="69" t="s">
        <v>188</v>
      </c>
      <c r="C2" s="69"/>
      <c r="D2" s="69"/>
      <c r="E2" s="69"/>
      <c r="F2" s="69"/>
      <c r="G2" s="69"/>
      <c r="H2" s="69"/>
      <c r="I2" s="69"/>
      <c r="J2" s="9"/>
      <c r="L2" s="5"/>
      <c r="M2" s="64" t="s">
        <v>151</v>
      </c>
      <c r="N2" s="64"/>
      <c r="O2" s="64"/>
      <c r="P2" s="64"/>
      <c r="Q2" s="64"/>
      <c r="R2" s="6"/>
      <c r="S2" s="66" t="s">
        <v>152</v>
      </c>
      <c r="T2" s="66"/>
      <c r="U2" s="66"/>
      <c r="V2" s="66"/>
      <c r="W2" s="9"/>
      <c r="X2" s="10"/>
      <c r="Y2" s="5"/>
      <c r="Z2" s="29" t="s">
        <v>156</v>
      </c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9"/>
    </row>
    <row r="3" spans="1:37" x14ac:dyDescent="0.2">
      <c r="A3" s="6"/>
      <c r="B3" s="6"/>
      <c r="C3" s="7"/>
      <c r="D3" s="7"/>
      <c r="E3" s="6"/>
      <c r="F3" s="6"/>
      <c r="G3" s="6"/>
      <c r="H3" s="6"/>
      <c r="I3" s="6"/>
      <c r="J3" s="9"/>
      <c r="L3" s="5"/>
      <c r="M3" s="11"/>
      <c r="N3" s="12" t="s">
        <v>158</v>
      </c>
      <c r="O3" s="13" t="s">
        <v>143</v>
      </c>
      <c r="P3" s="13" t="s">
        <v>142</v>
      </c>
      <c r="Q3" s="13" t="s">
        <v>88</v>
      </c>
      <c r="R3" s="6"/>
      <c r="S3" s="10"/>
      <c r="T3" s="10"/>
      <c r="U3" s="65" t="s">
        <v>155</v>
      </c>
      <c r="V3" s="65"/>
      <c r="W3" s="9"/>
      <c r="X3" s="10"/>
      <c r="Y3" s="5"/>
      <c r="Z3" s="70" t="s">
        <v>157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9"/>
    </row>
    <row r="4" spans="1:37" ht="12.75" customHeight="1" x14ac:dyDescent="0.2">
      <c r="A4" s="5"/>
      <c r="B4" s="6"/>
      <c r="C4" s="7"/>
      <c r="D4" s="7"/>
      <c r="E4" s="6"/>
      <c r="F4" s="67" t="s">
        <v>150</v>
      </c>
      <c r="G4" s="67"/>
      <c r="H4" s="67"/>
      <c r="I4" s="67"/>
      <c r="J4" s="8"/>
      <c r="L4" s="5"/>
      <c r="M4" s="16" t="s">
        <v>112</v>
      </c>
      <c r="N4" s="10"/>
      <c r="O4" s="17"/>
      <c r="P4" s="17"/>
      <c r="Q4" s="17"/>
      <c r="R4" s="6"/>
      <c r="S4" s="18" t="s">
        <v>153</v>
      </c>
      <c r="T4" s="18" t="s">
        <v>154</v>
      </c>
      <c r="U4" s="18" t="s">
        <v>64</v>
      </c>
      <c r="V4" s="18" t="s">
        <v>65</v>
      </c>
      <c r="W4" s="15"/>
      <c r="X4" s="27"/>
      <c r="Y4" s="5"/>
      <c r="Z4" s="6"/>
      <c r="AA4" s="6"/>
      <c r="AB4" s="6"/>
      <c r="AC4" s="6"/>
      <c r="AD4" s="6"/>
      <c r="AE4" s="6"/>
      <c r="AF4" s="6"/>
      <c r="AG4" s="71" t="s">
        <v>191</v>
      </c>
      <c r="AH4" s="6"/>
      <c r="AI4" s="6"/>
      <c r="AJ4" s="6"/>
      <c r="AK4" s="9"/>
    </row>
    <row r="5" spans="1:37" ht="12.75" customHeight="1" x14ac:dyDescent="0.2">
      <c r="A5" s="5"/>
      <c r="B5" s="6"/>
      <c r="C5" s="7"/>
      <c r="D5" s="7"/>
      <c r="E5" s="6"/>
      <c r="F5" s="40"/>
      <c r="G5" s="40" t="s">
        <v>105</v>
      </c>
      <c r="H5" s="40" t="s">
        <v>64</v>
      </c>
      <c r="I5" s="40" t="s">
        <v>65</v>
      </c>
      <c r="J5" s="9"/>
      <c r="L5" s="5"/>
      <c r="M5" s="10" t="s">
        <v>159</v>
      </c>
      <c r="N5" s="21" t="s">
        <v>114</v>
      </c>
      <c r="O5" s="17">
        <v>3</v>
      </c>
      <c r="P5" s="17" t="s">
        <v>110</v>
      </c>
      <c r="Q5" s="17" t="s">
        <v>145</v>
      </c>
      <c r="R5" s="6"/>
      <c r="S5" s="10" t="s">
        <v>74</v>
      </c>
      <c r="T5" s="10" t="s">
        <v>177</v>
      </c>
      <c r="U5" s="46">
        <f>O8*(O13-O14)/O15*O16</f>
        <v>148620.58823529413</v>
      </c>
      <c r="V5" s="46">
        <f>O8*(O13-O14)/O15*O16</f>
        <v>148620.58823529413</v>
      </c>
      <c r="W5" s="9"/>
      <c r="X5" s="10"/>
      <c r="Y5" s="5"/>
      <c r="Z5" s="6"/>
      <c r="AA5" s="6"/>
      <c r="AB5" s="6"/>
      <c r="AC5" s="6"/>
      <c r="AD5" s="6"/>
      <c r="AE5" s="6"/>
      <c r="AF5" s="6"/>
      <c r="AG5" s="71"/>
      <c r="AH5" s="6"/>
      <c r="AI5" s="6"/>
      <c r="AJ5" s="6"/>
      <c r="AK5" s="9"/>
    </row>
    <row r="6" spans="1:37" ht="12.75" customHeight="1" x14ac:dyDescent="0.2">
      <c r="A6" s="5"/>
      <c r="B6" s="12" t="s">
        <v>149</v>
      </c>
      <c r="C6" s="14"/>
      <c r="D6" s="7"/>
      <c r="E6" s="6"/>
      <c r="F6" s="41" t="s">
        <v>75</v>
      </c>
      <c r="G6" s="37"/>
      <c r="H6" s="37"/>
      <c r="I6" s="37"/>
      <c r="J6" s="15"/>
      <c r="L6" s="5"/>
      <c r="M6" s="10" t="s">
        <v>166</v>
      </c>
      <c r="N6" s="21" t="s">
        <v>115</v>
      </c>
      <c r="O6" s="17">
        <v>19</v>
      </c>
      <c r="P6" s="17" t="s">
        <v>110</v>
      </c>
      <c r="Q6" s="17"/>
      <c r="R6" s="6"/>
      <c r="S6" s="10" t="s">
        <v>139</v>
      </c>
      <c r="T6" s="10" t="s">
        <v>178</v>
      </c>
      <c r="U6" s="40"/>
      <c r="V6" s="46">
        <f>O8*(O13-O14)/O15*(O15-O16)</f>
        <v>45729.411764705881</v>
      </c>
      <c r="W6" s="9"/>
      <c r="X6" s="10"/>
      <c r="Y6" s="5"/>
      <c r="Z6" s="6"/>
      <c r="AA6" s="6">
        <v>2013</v>
      </c>
      <c r="AB6" s="6">
        <v>2014</v>
      </c>
      <c r="AC6" s="6">
        <v>2015</v>
      </c>
      <c r="AD6" s="6">
        <v>2016</v>
      </c>
      <c r="AE6" s="6">
        <v>2017</v>
      </c>
      <c r="AF6" s="6"/>
      <c r="AG6" s="71"/>
      <c r="AH6" s="6" t="s">
        <v>192</v>
      </c>
      <c r="AI6" s="6"/>
      <c r="AJ6" s="6"/>
      <c r="AK6" s="9"/>
    </row>
    <row r="7" spans="1:37" x14ac:dyDescent="0.2">
      <c r="A7" s="5"/>
      <c r="B7" s="10" t="s">
        <v>0</v>
      </c>
      <c r="C7" s="19">
        <f>'Income statement data BINTERNET'!M24</f>
        <v>596250</v>
      </c>
      <c r="D7" s="20"/>
      <c r="E7" s="6"/>
      <c r="F7" s="40" t="s">
        <v>101</v>
      </c>
      <c r="G7" s="40">
        <f>'Income statement data BINTERNET'!M15</f>
        <v>987350</v>
      </c>
      <c r="H7" s="40">
        <f>G7+'Partial budget and income stat.'!U14</f>
        <v>1138235.8633333333</v>
      </c>
      <c r="I7" s="40">
        <f>G7-D40</f>
        <v>527554.2533333333</v>
      </c>
      <c r="J7" s="9"/>
      <c r="L7" s="5"/>
      <c r="M7" s="10"/>
      <c r="Q7" s="17"/>
      <c r="R7" s="6"/>
      <c r="S7" s="10" t="s">
        <v>109</v>
      </c>
      <c r="T7" s="10" t="s">
        <v>179</v>
      </c>
      <c r="U7" s="40"/>
      <c r="V7" s="46">
        <f>O8*O14</f>
        <v>18150</v>
      </c>
      <c r="W7" s="9"/>
      <c r="X7" s="10"/>
      <c r="Y7" s="5"/>
      <c r="Z7" s="6" t="s">
        <v>193</v>
      </c>
      <c r="AA7" s="6">
        <v>8.9</v>
      </c>
      <c r="AB7" s="6">
        <v>7.35</v>
      </c>
      <c r="AC7" s="6">
        <v>7.75</v>
      </c>
      <c r="AD7" s="6">
        <v>8.5500000000000007</v>
      </c>
      <c r="AE7" s="6">
        <v>7.55</v>
      </c>
      <c r="AF7" s="6"/>
      <c r="AG7" s="6">
        <f>AVERAGE(AA7:AD7)</f>
        <v>8.1374999999999993</v>
      </c>
      <c r="AH7" s="6">
        <f>_xlfn.STDEV.P(AA7:AD7)</f>
        <v>0.6168214895737667</v>
      </c>
      <c r="AI7" s="6"/>
      <c r="AJ7" s="6"/>
      <c r="AK7" s="9"/>
    </row>
    <row r="8" spans="1:37" x14ac:dyDescent="0.2">
      <c r="A8" s="5"/>
      <c r="B8" s="10" t="s">
        <v>1</v>
      </c>
      <c r="C8" s="19">
        <f>'Income statement data BINTERNET'!M28</f>
        <v>9625</v>
      </c>
      <c r="D8" s="20"/>
      <c r="E8" s="6"/>
      <c r="F8" s="40" t="s">
        <v>76</v>
      </c>
      <c r="G8" s="40">
        <f>'Income statement data BINTERNET'!M3-'Income statement data BINTERNET'!M11-'Income statement data BINTERNET'!M15</f>
        <v>94600</v>
      </c>
      <c r="H8" s="40">
        <f>G8</f>
        <v>94600</v>
      </c>
      <c r="I8" s="40">
        <f>G8</f>
        <v>94600</v>
      </c>
      <c r="J8" s="22"/>
      <c r="L8" s="5"/>
      <c r="M8" s="10" t="s">
        <v>87</v>
      </c>
      <c r="N8" s="21" t="s">
        <v>116</v>
      </c>
      <c r="O8" s="17">
        <v>50000</v>
      </c>
      <c r="P8" s="17" t="s">
        <v>93</v>
      </c>
      <c r="Q8" s="17" t="s">
        <v>89</v>
      </c>
      <c r="R8" s="6"/>
      <c r="S8" s="10"/>
      <c r="T8" s="10"/>
      <c r="U8" s="40"/>
      <c r="V8" s="40"/>
      <c r="W8" s="9"/>
      <c r="X8" s="10"/>
      <c r="Y8" s="5"/>
      <c r="Z8" s="6" t="s">
        <v>194</v>
      </c>
      <c r="AA8" s="6">
        <v>9.25</v>
      </c>
      <c r="AB8" s="6">
        <v>7.45</v>
      </c>
      <c r="AC8" s="6">
        <v>7.7</v>
      </c>
      <c r="AD8" s="6">
        <v>8.8000000000000007</v>
      </c>
      <c r="AE8" s="6">
        <v>7.25</v>
      </c>
      <c r="AF8" s="6"/>
      <c r="AG8" s="6">
        <f t="shared" ref="AG8:AG18" si="0">AVERAGE(AA8:AD8)</f>
        <v>8.3000000000000007</v>
      </c>
      <c r="AH8" s="6">
        <f t="shared" ref="AH8:AH18" si="1">_xlfn.STDEV.P(AA8:AD8)</f>
        <v>0.74749581938630272</v>
      </c>
      <c r="AI8" s="6"/>
      <c r="AJ8" s="6"/>
      <c r="AK8" s="9"/>
    </row>
    <row r="9" spans="1:37" x14ac:dyDescent="0.2">
      <c r="A9" s="5"/>
      <c r="B9" s="10" t="s">
        <v>4</v>
      </c>
      <c r="C9" s="19">
        <f>'Income statement data BINTERNET'!M29</f>
        <v>17425</v>
      </c>
      <c r="D9" s="20"/>
      <c r="E9" s="6"/>
      <c r="F9" s="42" t="s">
        <v>77</v>
      </c>
      <c r="G9" s="42">
        <f>SUM(G7:G8)</f>
        <v>1081950</v>
      </c>
      <c r="H9" s="42">
        <f>SUM(H7:H8)</f>
        <v>1232835.8633333333</v>
      </c>
      <c r="I9" s="42">
        <f>SUM(I7:I8)</f>
        <v>622154.2533333333</v>
      </c>
      <c r="J9" s="22"/>
      <c r="L9" s="5"/>
      <c r="M9" s="10" t="s">
        <v>173</v>
      </c>
      <c r="N9" s="21" t="s">
        <v>117</v>
      </c>
      <c r="O9" s="54">
        <v>38360</v>
      </c>
      <c r="P9" s="17" t="s">
        <v>94</v>
      </c>
      <c r="Q9" s="17" t="s">
        <v>165</v>
      </c>
      <c r="R9" s="6"/>
      <c r="S9" s="10" t="s">
        <v>162</v>
      </c>
      <c r="T9" s="10" t="s">
        <v>180</v>
      </c>
      <c r="U9" s="40"/>
      <c r="V9" s="46">
        <f>O6*7*O8*O19*O20/1000</f>
        <v>200098.5</v>
      </c>
      <c r="W9" s="9"/>
      <c r="X9" s="10"/>
      <c r="Y9" s="5"/>
      <c r="Z9" s="6" t="s">
        <v>195</v>
      </c>
      <c r="AA9" s="6">
        <v>9</v>
      </c>
      <c r="AB9" s="6">
        <v>7.7</v>
      </c>
      <c r="AC9" s="6">
        <v>8.5500000000000007</v>
      </c>
      <c r="AD9" s="6">
        <v>9.15</v>
      </c>
      <c r="AE9" s="6">
        <v>7.55</v>
      </c>
      <c r="AF9" s="6"/>
      <c r="AG9" s="6">
        <f t="shared" si="0"/>
        <v>8.6</v>
      </c>
      <c r="AH9" s="6">
        <f t="shared" si="1"/>
        <v>0.5645794895318107</v>
      </c>
      <c r="AI9" s="6"/>
      <c r="AJ9" s="6"/>
      <c r="AK9" s="9"/>
    </row>
    <row r="10" spans="1:37" x14ac:dyDescent="0.2">
      <c r="A10" s="5"/>
      <c r="B10" s="10" t="s">
        <v>5</v>
      </c>
      <c r="C10" s="19">
        <f>'Income statement data BINTERNET'!M37</f>
        <v>5250</v>
      </c>
      <c r="D10" s="20"/>
      <c r="E10" s="6"/>
      <c r="F10" s="40"/>
      <c r="G10" s="40"/>
      <c r="H10" s="40"/>
      <c r="I10" s="40"/>
      <c r="J10" s="23"/>
      <c r="L10" s="5"/>
      <c r="M10" s="10" t="s">
        <v>160</v>
      </c>
      <c r="N10" s="21" t="s">
        <v>118</v>
      </c>
      <c r="O10" s="54">
        <v>17.5</v>
      </c>
      <c r="P10" s="17" t="s">
        <v>161</v>
      </c>
      <c r="Q10" s="17" t="s">
        <v>165</v>
      </c>
      <c r="R10" s="6"/>
      <c r="S10" s="10" t="s">
        <v>163</v>
      </c>
      <c r="T10" s="10" t="s">
        <v>181</v>
      </c>
      <c r="U10" s="40"/>
      <c r="V10" s="40">
        <f>O8*O10/52*O6*O24/1000</f>
        <v>4795.673076923078</v>
      </c>
      <c r="W10" s="9"/>
      <c r="X10" s="10"/>
      <c r="Y10" s="5"/>
      <c r="Z10" s="6" t="s">
        <v>196</v>
      </c>
      <c r="AA10" s="6">
        <v>7.15</v>
      </c>
      <c r="AB10" s="6">
        <v>7.45</v>
      </c>
      <c r="AC10" s="6">
        <v>8.0500000000000007</v>
      </c>
      <c r="AD10" s="6">
        <v>7.65</v>
      </c>
      <c r="AE10" s="6">
        <v>8.25</v>
      </c>
      <c r="AF10" s="6"/>
      <c r="AG10" s="6">
        <f t="shared" si="0"/>
        <v>7.5750000000000011</v>
      </c>
      <c r="AH10" s="6">
        <f t="shared" si="1"/>
        <v>0.32691742076555064</v>
      </c>
      <c r="AI10" s="6"/>
      <c r="AJ10" s="6"/>
      <c r="AK10" s="9"/>
    </row>
    <row r="11" spans="1:37" x14ac:dyDescent="0.2">
      <c r="A11" s="5"/>
      <c r="B11" s="10" t="s">
        <v>3</v>
      </c>
      <c r="C11" s="19">
        <f>'Income statement data BINTERNET'!M38</f>
        <v>23225</v>
      </c>
      <c r="D11" s="20"/>
      <c r="E11" s="6"/>
      <c r="F11" s="41" t="s">
        <v>78</v>
      </c>
      <c r="G11" s="40"/>
      <c r="H11" s="40"/>
      <c r="I11" s="40"/>
      <c r="J11" s="9"/>
      <c r="L11" s="5"/>
      <c r="M11" s="10"/>
      <c r="N11" s="21"/>
      <c r="O11" s="24"/>
      <c r="P11" s="17"/>
      <c r="Q11" s="17"/>
      <c r="R11" s="6"/>
      <c r="S11" s="10" t="s">
        <v>164</v>
      </c>
      <c r="T11" s="10" t="s">
        <v>182</v>
      </c>
      <c r="U11" s="40"/>
      <c r="V11" s="46">
        <f>O8*O10/52*(O5+O6)*(O23-O24)/1000</f>
        <v>10180.288461538465</v>
      </c>
      <c r="W11" s="9"/>
      <c r="X11" s="10"/>
      <c r="Y11" s="5"/>
      <c r="Z11" s="6" t="s">
        <v>197</v>
      </c>
      <c r="AA11" s="6">
        <v>6.65</v>
      </c>
      <c r="AB11" s="6">
        <v>6.95</v>
      </c>
      <c r="AC11" s="6">
        <v>7.5</v>
      </c>
      <c r="AD11" s="6">
        <v>7</v>
      </c>
      <c r="AE11" s="6">
        <v>8</v>
      </c>
      <c r="AF11" s="6"/>
      <c r="AG11" s="6">
        <f t="shared" si="0"/>
        <v>7.0250000000000004</v>
      </c>
      <c r="AH11" s="6">
        <f t="shared" si="1"/>
        <v>0.30516389039334246</v>
      </c>
      <c r="AI11" s="6"/>
      <c r="AJ11" s="6"/>
      <c r="AK11" s="9"/>
    </row>
    <row r="12" spans="1:37" x14ac:dyDescent="0.2">
      <c r="A12" s="5"/>
      <c r="B12" s="10" t="s">
        <v>6</v>
      </c>
      <c r="C12" s="19">
        <f>'Income statement data BINTERNET'!M22-'Partial budget and income stat.'!C7-'Partial budget and income stat.'!C8-'Partial budget and income stat.'!C9-'Partial budget and income stat.'!C10-'Partial budget and income stat.'!C11-'Partial budget and income stat.'!C15-'Partial budget and income stat.'!C13-C14-'Partial budget and income stat.'!C16-C17-C18</f>
        <v>33700</v>
      </c>
      <c r="D12" s="20"/>
      <c r="E12" s="6"/>
      <c r="F12" s="40" t="s">
        <v>0</v>
      </c>
      <c r="G12" s="40">
        <f>C7</f>
        <v>596250</v>
      </c>
      <c r="H12" s="40">
        <f>G12</f>
        <v>596250</v>
      </c>
      <c r="I12" s="40">
        <f>G12-D33</f>
        <v>396151.5</v>
      </c>
      <c r="J12" s="9"/>
      <c r="L12" s="5"/>
      <c r="M12" s="16" t="s">
        <v>113</v>
      </c>
      <c r="N12" s="10"/>
      <c r="O12" s="17"/>
      <c r="P12" s="17"/>
      <c r="Q12" s="17"/>
      <c r="R12" s="6"/>
      <c r="S12" s="10"/>
      <c r="T12" s="10"/>
      <c r="U12" s="40"/>
      <c r="V12" s="46"/>
      <c r="W12" s="9"/>
      <c r="X12" s="10"/>
      <c r="Y12" s="5"/>
      <c r="Z12" s="6" t="s">
        <v>198</v>
      </c>
      <c r="AA12" s="6">
        <v>6.8</v>
      </c>
      <c r="AB12" s="6">
        <v>7.1</v>
      </c>
      <c r="AC12" s="6">
        <v>8.6</v>
      </c>
      <c r="AD12" s="6">
        <v>6.85</v>
      </c>
      <c r="AE12" s="6">
        <v>8.1</v>
      </c>
      <c r="AF12" s="6"/>
      <c r="AG12" s="6">
        <f t="shared" si="0"/>
        <v>7.3375000000000004</v>
      </c>
      <c r="AH12" s="6">
        <f t="shared" si="1"/>
        <v>0.73771183398396467</v>
      </c>
      <c r="AI12" s="6"/>
      <c r="AJ12" s="6"/>
      <c r="AK12" s="9"/>
    </row>
    <row r="13" spans="1:37" x14ac:dyDescent="0.2">
      <c r="A13" s="5"/>
      <c r="B13" s="10" t="s">
        <v>7</v>
      </c>
      <c r="C13" s="19">
        <f>'Income statement data BINTERNET'!M39+'Income statement data BINTERNET'!M40</f>
        <v>49575</v>
      </c>
      <c r="D13" s="20"/>
      <c r="E13" s="6"/>
      <c r="F13" s="40" t="s">
        <v>1</v>
      </c>
      <c r="G13" s="40">
        <f>C8</f>
        <v>9625</v>
      </c>
      <c r="H13" s="40">
        <f>G13</f>
        <v>9625</v>
      </c>
      <c r="I13" s="40">
        <f>G13+D26-D34</f>
        <v>15009.615384615387</v>
      </c>
      <c r="J13" s="22"/>
      <c r="L13" s="5"/>
      <c r="M13" s="10" t="s">
        <v>90</v>
      </c>
      <c r="N13" s="21" t="s">
        <v>119</v>
      </c>
      <c r="O13" s="17">
        <v>4.25</v>
      </c>
      <c r="P13" s="17" t="s">
        <v>92</v>
      </c>
      <c r="Q13" s="17" t="s">
        <v>165</v>
      </c>
      <c r="R13" s="6"/>
      <c r="S13" s="10" t="s">
        <v>134</v>
      </c>
      <c r="T13" s="10" t="s">
        <v>183</v>
      </c>
      <c r="U13" s="40"/>
      <c r="V13" s="46">
        <f>(O5+O6)*7*O9*O28</f>
        <v>459795.7466666667</v>
      </c>
      <c r="W13" s="9"/>
      <c r="X13" s="10"/>
      <c r="Y13" s="5"/>
      <c r="Z13" s="6" t="s">
        <v>199</v>
      </c>
      <c r="AA13" s="6">
        <v>6.65</v>
      </c>
      <c r="AB13" s="6">
        <v>7.2</v>
      </c>
      <c r="AC13" s="6">
        <v>9.0500000000000007</v>
      </c>
      <c r="AD13" s="6">
        <v>6.75</v>
      </c>
      <c r="AE13" s="6">
        <v>7.3</v>
      </c>
      <c r="AF13" s="6"/>
      <c r="AG13" s="6">
        <f t="shared" si="0"/>
        <v>7.4125000000000005</v>
      </c>
      <c r="AH13" s="6">
        <f t="shared" si="1"/>
        <v>0.96784231670246634</v>
      </c>
      <c r="AI13" s="6"/>
      <c r="AJ13" s="6"/>
      <c r="AK13" s="9"/>
    </row>
    <row r="14" spans="1:37" x14ac:dyDescent="0.2">
      <c r="A14" s="5"/>
      <c r="B14" s="10" t="s">
        <v>100</v>
      </c>
      <c r="C14" s="19">
        <f>'Income statement data BINTERNET'!M40</f>
        <v>2525</v>
      </c>
      <c r="D14" s="20"/>
      <c r="E14" s="6"/>
      <c r="F14" s="40" t="s">
        <v>102</v>
      </c>
      <c r="G14" s="40">
        <f>C9+C10+C11+C12</f>
        <v>79600</v>
      </c>
      <c r="H14" s="40">
        <f>G14</f>
        <v>79600</v>
      </c>
      <c r="I14" s="40">
        <f>G14</f>
        <v>79600</v>
      </c>
      <c r="J14" s="22"/>
      <c r="L14" s="5"/>
      <c r="M14" s="10" t="s">
        <v>91</v>
      </c>
      <c r="N14" s="21" t="s">
        <v>120</v>
      </c>
      <c r="O14" s="17">
        <f>1.65*0.22</f>
        <v>0.36299999999999999</v>
      </c>
      <c r="P14" s="17" t="s">
        <v>92</v>
      </c>
      <c r="Q14" s="17" t="s">
        <v>165</v>
      </c>
      <c r="R14" s="6"/>
      <c r="S14" s="10" t="s">
        <v>135</v>
      </c>
      <c r="T14" s="10" t="s">
        <v>184</v>
      </c>
      <c r="U14" s="46">
        <f>(O5+O6)*7*O9*(O27-O28)</f>
        <v>150885.86333333337</v>
      </c>
      <c r="V14" s="40"/>
      <c r="W14" s="9"/>
      <c r="X14" s="10"/>
      <c r="Y14" s="5"/>
      <c r="Z14" s="6" t="s">
        <v>200</v>
      </c>
      <c r="AA14" s="6">
        <v>6.7</v>
      </c>
      <c r="AB14" s="6">
        <v>7</v>
      </c>
      <c r="AC14" s="6">
        <v>8.85</v>
      </c>
      <c r="AD14" s="6">
        <v>6.65</v>
      </c>
      <c r="AE14" s="6">
        <v>7.45</v>
      </c>
      <c r="AF14" s="6"/>
      <c r="AG14" s="6">
        <f t="shared" si="0"/>
        <v>7.2999999999999989</v>
      </c>
      <c r="AH14" s="6">
        <f t="shared" si="1"/>
        <v>0.90484805354269759</v>
      </c>
      <c r="AI14" s="6"/>
      <c r="AJ14" s="6"/>
      <c r="AK14" s="9"/>
    </row>
    <row r="15" spans="1:37" x14ac:dyDescent="0.2">
      <c r="A15" s="5"/>
      <c r="B15" s="10" t="s">
        <v>2</v>
      </c>
      <c r="C15" s="19">
        <f>'Income statement data BINTERNET'!M35+'Income statement data BINTERNET'!M36</f>
        <v>93950</v>
      </c>
      <c r="D15" s="20"/>
      <c r="E15" s="6"/>
      <c r="F15" s="40" t="s">
        <v>79</v>
      </c>
      <c r="G15" s="40"/>
      <c r="H15" s="40"/>
      <c r="I15" s="40">
        <f>D27</f>
        <v>10000</v>
      </c>
      <c r="J15" s="22"/>
      <c r="L15" s="5"/>
      <c r="M15" s="10" t="s">
        <v>176</v>
      </c>
      <c r="N15" s="21" t="s">
        <v>121</v>
      </c>
      <c r="O15" s="54">
        <v>68</v>
      </c>
      <c r="P15" s="17" t="s">
        <v>110</v>
      </c>
      <c r="Q15" s="17" t="s">
        <v>165</v>
      </c>
      <c r="R15" s="6"/>
      <c r="S15" s="10"/>
      <c r="T15" s="10"/>
      <c r="U15" s="40"/>
      <c r="V15" s="40"/>
      <c r="W15" s="9"/>
      <c r="X15" s="10"/>
      <c r="Y15" s="5"/>
      <c r="Z15" s="6" t="s">
        <v>201</v>
      </c>
      <c r="AA15" s="6">
        <v>7.15</v>
      </c>
      <c r="AB15" s="6">
        <v>7.4</v>
      </c>
      <c r="AC15" s="6">
        <v>8.9499999999999993</v>
      </c>
      <c r="AD15" s="6">
        <v>6.85</v>
      </c>
      <c r="AE15" s="6">
        <v>8.4499999999999993</v>
      </c>
      <c r="AF15" s="6"/>
      <c r="AG15" s="6">
        <f t="shared" si="0"/>
        <v>7.5875000000000004</v>
      </c>
      <c r="AH15" s="6">
        <f t="shared" si="1"/>
        <v>0.8103818544365341</v>
      </c>
      <c r="AI15" s="6"/>
      <c r="AJ15" s="6"/>
      <c r="AK15" s="9"/>
    </row>
    <row r="16" spans="1:37" x14ac:dyDescent="0.2">
      <c r="A16" s="5"/>
      <c r="B16" s="10" t="s">
        <v>8</v>
      </c>
      <c r="C16" s="19">
        <f>'Income statement data BINTERNET'!M41</f>
        <v>43475</v>
      </c>
      <c r="D16" s="20"/>
      <c r="E16" s="6"/>
      <c r="F16" s="40" t="s">
        <v>80</v>
      </c>
      <c r="G16" s="40"/>
      <c r="H16" s="40"/>
      <c r="I16" s="40">
        <f>D28</f>
        <v>8055.6</v>
      </c>
      <c r="J16" s="22"/>
      <c r="L16" s="5"/>
      <c r="M16" s="10" t="s">
        <v>111</v>
      </c>
      <c r="N16" s="21" t="s">
        <v>122</v>
      </c>
      <c r="O16" s="17">
        <v>52</v>
      </c>
      <c r="P16" s="17" t="s">
        <v>110</v>
      </c>
      <c r="Q16" s="17"/>
      <c r="R16" s="6"/>
      <c r="S16" s="10" t="s">
        <v>79</v>
      </c>
      <c r="T16" s="10" t="s">
        <v>185</v>
      </c>
      <c r="U16" s="40"/>
      <c r="V16" s="46">
        <f>O8*O31</f>
        <v>10000</v>
      </c>
      <c r="W16" s="9"/>
      <c r="X16" s="10"/>
      <c r="Y16" s="5"/>
      <c r="Z16" s="6" t="s">
        <v>202</v>
      </c>
      <c r="AA16" s="6">
        <v>7.45</v>
      </c>
      <c r="AB16" s="6">
        <v>7.7</v>
      </c>
      <c r="AC16" s="6">
        <v>8.6</v>
      </c>
      <c r="AD16" s="6">
        <v>6.9</v>
      </c>
      <c r="AE16" s="6">
        <v>9.6999999999999993</v>
      </c>
      <c r="AF16" s="6"/>
      <c r="AG16" s="6">
        <f t="shared" si="0"/>
        <v>7.6624999999999996</v>
      </c>
      <c r="AH16" s="6">
        <f t="shared" si="1"/>
        <v>0.6137741848595456</v>
      </c>
      <c r="AI16" s="6"/>
      <c r="AJ16" s="6"/>
      <c r="AK16" s="9"/>
    </row>
    <row r="17" spans="1:37" x14ac:dyDescent="0.2">
      <c r="A17" s="5"/>
      <c r="B17" s="10" t="s">
        <v>103</v>
      </c>
      <c r="C17" s="19">
        <f>'Income statement data BINTERNET'!M32</f>
        <v>7525</v>
      </c>
      <c r="D17" s="20"/>
      <c r="E17" s="6"/>
      <c r="F17" s="40" t="s">
        <v>72</v>
      </c>
      <c r="G17" s="40"/>
      <c r="H17" s="40"/>
      <c r="I17" s="40">
        <f>D29</f>
        <v>40000</v>
      </c>
      <c r="J17" s="22"/>
      <c r="L17" s="5"/>
      <c r="M17" s="10"/>
      <c r="N17" s="21"/>
      <c r="O17" s="17"/>
      <c r="P17" s="17"/>
      <c r="Q17" s="17"/>
      <c r="R17" s="6"/>
      <c r="S17" s="10" t="s">
        <v>70</v>
      </c>
      <c r="T17" s="10" t="s">
        <v>186</v>
      </c>
      <c r="U17" s="40"/>
      <c r="V17" s="46">
        <f>O5*7*O9*O32</f>
        <v>8055.6</v>
      </c>
      <c r="W17" s="9"/>
      <c r="X17" s="10"/>
      <c r="Y17" s="5"/>
      <c r="Z17" s="6" t="s">
        <v>203</v>
      </c>
      <c r="AA17" s="6">
        <v>7.65</v>
      </c>
      <c r="AB17" s="6">
        <v>7.9</v>
      </c>
      <c r="AC17" s="6">
        <v>8.4499999999999993</v>
      </c>
      <c r="AD17" s="6">
        <v>7.3</v>
      </c>
      <c r="AE17" s="6">
        <v>11.35</v>
      </c>
      <c r="AF17" s="6"/>
      <c r="AG17" s="6">
        <f t="shared" si="0"/>
        <v>7.8250000000000002</v>
      </c>
      <c r="AH17" s="6">
        <f t="shared" si="1"/>
        <v>0.41907636535600501</v>
      </c>
      <c r="AI17" s="6"/>
      <c r="AJ17" s="6"/>
      <c r="AK17" s="9"/>
    </row>
    <row r="18" spans="1:37" x14ac:dyDescent="0.2">
      <c r="A18" s="5"/>
      <c r="B18" s="10" t="s">
        <v>104</v>
      </c>
      <c r="C18" s="19">
        <f>'Income statement data BINTERNET'!M43</f>
        <v>33075</v>
      </c>
      <c r="D18" s="20"/>
      <c r="E18" s="6"/>
      <c r="F18" s="42" t="s">
        <v>86</v>
      </c>
      <c r="G18" s="42">
        <f>SUM(G12:G17)</f>
        <v>685475</v>
      </c>
      <c r="H18" s="42">
        <f>SUM(H12:H17)</f>
        <v>685475</v>
      </c>
      <c r="I18" s="42">
        <f>SUM(I12:I17)</f>
        <v>548816.71538461535</v>
      </c>
      <c r="J18" s="22"/>
      <c r="L18" s="5"/>
      <c r="M18" s="16" t="s">
        <v>73</v>
      </c>
      <c r="N18" s="10"/>
      <c r="O18" s="17"/>
      <c r="P18" s="17"/>
      <c r="Q18" s="17"/>
      <c r="R18" s="6"/>
      <c r="S18" s="25" t="s">
        <v>72</v>
      </c>
      <c r="T18" s="25" t="s">
        <v>187</v>
      </c>
      <c r="U18" s="45"/>
      <c r="V18" s="47">
        <f>O8*O33</f>
        <v>40000</v>
      </c>
      <c r="W18" s="9"/>
      <c r="X18" s="10"/>
      <c r="Y18" s="5"/>
      <c r="Z18" s="6" t="s">
        <v>204</v>
      </c>
      <c r="AA18" s="6">
        <v>7.6</v>
      </c>
      <c r="AB18" s="6">
        <v>8.1999999999999993</v>
      </c>
      <c r="AC18" s="6">
        <v>8.6999999999999993</v>
      </c>
      <c r="AD18" s="6">
        <v>7.85</v>
      </c>
      <c r="AE18" s="6">
        <v>11.85</v>
      </c>
      <c r="AF18" s="6"/>
      <c r="AG18" s="6">
        <f t="shared" si="0"/>
        <v>8.0875000000000004</v>
      </c>
      <c r="AH18" s="6">
        <f t="shared" si="1"/>
        <v>0.41287861412284343</v>
      </c>
      <c r="AI18" s="6"/>
      <c r="AJ18" s="6"/>
      <c r="AK18" s="9"/>
    </row>
    <row r="19" spans="1:37" ht="13.5" thickBot="1" x14ac:dyDescent="0.25">
      <c r="A19" s="5"/>
      <c r="B19" s="25" t="s">
        <v>9</v>
      </c>
      <c r="C19" s="26">
        <f>SUM(C7:C18)</f>
        <v>915600</v>
      </c>
      <c r="D19" s="20"/>
      <c r="E19" s="6"/>
      <c r="F19" s="40"/>
      <c r="G19" s="40"/>
      <c r="H19" s="40"/>
      <c r="I19" s="40"/>
      <c r="J19" s="23"/>
      <c r="L19" s="5"/>
      <c r="M19" s="10" t="s">
        <v>97</v>
      </c>
      <c r="N19" s="21" t="s">
        <v>123</v>
      </c>
      <c r="O19" s="17">
        <v>118</v>
      </c>
      <c r="P19" s="17" t="s">
        <v>98</v>
      </c>
      <c r="Q19" s="17" t="s">
        <v>165</v>
      </c>
      <c r="R19" s="6"/>
      <c r="S19" s="6"/>
      <c r="W19" s="9"/>
      <c r="X19" s="10"/>
      <c r="Y19" s="33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5"/>
    </row>
    <row r="20" spans="1:37" x14ac:dyDescent="0.2">
      <c r="A20" s="5"/>
      <c r="B20" s="6"/>
      <c r="C20" s="7"/>
      <c r="D20" s="7"/>
      <c r="E20" s="6"/>
      <c r="F20" s="42" t="s">
        <v>81</v>
      </c>
      <c r="G20" s="42">
        <f>G9-G18</f>
        <v>396475</v>
      </c>
      <c r="H20" s="42">
        <f>H9-H18</f>
        <v>547360.86333333328</v>
      </c>
      <c r="I20" s="42">
        <f>I9-I18</f>
        <v>73337.537948717945</v>
      </c>
      <c r="J20" s="9"/>
      <c r="L20" s="5"/>
      <c r="M20" s="10" t="s">
        <v>73</v>
      </c>
      <c r="N20" s="21" t="s">
        <v>124</v>
      </c>
      <c r="O20" s="30">
        <f>(25.5/100)</f>
        <v>0.255</v>
      </c>
      <c r="P20" s="17" t="s">
        <v>99</v>
      </c>
      <c r="Q20" s="17" t="s">
        <v>165</v>
      </c>
      <c r="R20" s="6"/>
      <c r="T20" s="6"/>
      <c r="U20" s="6"/>
      <c r="V20" s="6"/>
      <c r="W20" s="9"/>
      <c r="X20" s="10"/>
    </row>
    <row r="21" spans="1:37" x14ac:dyDescent="0.2">
      <c r="A21" s="5"/>
      <c r="B21" s="68" t="s">
        <v>189</v>
      </c>
      <c r="C21" s="68"/>
      <c r="D21" s="68"/>
      <c r="E21" s="6"/>
      <c r="F21" s="42"/>
      <c r="G21" s="42"/>
      <c r="H21" s="42"/>
      <c r="I21" s="42"/>
      <c r="J21" s="9"/>
      <c r="L21" s="5"/>
      <c r="M21" s="10"/>
      <c r="N21" s="10"/>
      <c r="O21" s="17"/>
      <c r="P21" s="17"/>
      <c r="Q21" s="17"/>
      <c r="R21" s="6"/>
      <c r="S21" s="6"/>
      <c r="T21" s="6"/>
      <c r="U21" s="6"/>
      <c r="V21" s="6"/>
      <c r="W21" s="9"/>
      <c r="X21" s="10"/>
    </row>
    <row r="22" spans="1:37" x14ac:dyDescent="0.2">
      <c r="A22" s="5"/>
      <c r="B22" s="63" t="s">
        <v>190</v>
      </c>
      <c r="C22" s="63"/>
      <c r="D22" s="63"/>
      <c r="E22" s="6"/>
      <c r="F22" s="41" t="s">
        <v>82</v>
      </c>
      <c r="G22" s="40"/>
      <c r="H22" s="40"/>
      <c r="I22" s="40"/>
      <c r="J22" s="23"/>
      <c r="L22" s="5"/>
      <c r="M22" s="16" t="s">
        <v>106</v>
      </c>
      <c r="N22" s="10"/>
      <c r="O22" s="17"/>
      <c r="P22" s="17"/>
      <c r="Q22" s="17"/>
      <c r="R22" s="6"/>
      <c r="S22" s="6"/>
      <c r="T22" s="6"/>
      <c r="U22" s="6"/>
      <c r="V22" s="51"/>
      <c r="W22" s="9"/>
      <c r="X22" s="10"/>
    </row>
    <row r="23" spans="1:37" x14ac:dyDescent="0.2">
      <c r="A23" s="5"/>
      <c r="B23" s="10"/>
      <c r="C23" s="10"/>
      <c r="D23" s="10"/>
      <c r="E23" s="6"/>
      <c r="F23" s="40" t="s">
        <v>74</v>
      </c>
      <c r="G23" s="40">
        <f>O8*(O13-O14)/O15*O16</f>
        <v>148620.58823529413</v>
      </c>
      <c r="H23" s="40">
        <f>G23</f>
        <v>148620.58823529413</v>
      </c>
      <c r="I23" s="40">
        <f>G23+D30+D41</f>
        <v>212500</v>
      </c>
      <c r="J23" s="9"/>
      <c r="L23" s="5"/>
      <c r="M23" s="10" t="s">
        <v>132</v>
      </c>
      <c r="N23" s="21" t="s">
        <v>125</v>
      </c>
      <c r="O23" s="54">
        <v>42.5</v>
      </c>
      <c r="P23" s="17" t="s">
        <v>95</v>
      </c>
      <c r="Q23" s="17" t="s">
        <v>138</v>
      </c>
      <c r="R23" s="6"/>
      <c r="S23" s="6"/>
      <c r="T23" s="6"/>
      <c r="U23" s="6"/>
      <c r="V23" s="6"/>
      <c r="W23" s="9"/>
      <c r="X23" s="10"/>
    </row>
    <row r="24" spans="1:37" x14ac:dyDescent="0.2">
      <c r="A24" s="5"/>
      <c r="B24" s="10"/>
      <c r="C24" s="27" t="s">
        <v>64</v>
      </c>
      <c r="D24" s="27" t="s">
        <v>65</v>
      </c>
      <c r="E24" s="6"/>
      <c r="F24" s="40" t="s">
        <v>83</v>
      </c>
      <c r="G24" s="40">
        <f>C13+C14+C15+C16+C17+C18</f>
        <v>230125</v>
      </c>
      <c r="H24" s="40">
        <f>G24</f>
        <v>230125</v>
      </c>
      <c r="I24" s="40">
        <f>G24</f>
        <v>230125</v>
      </c>
      <c r="J24" s="9"/>
      <c r="L24" s="5"/>
      <c r="M24" s="10" t="s">
        <v>133</v>
      </c>
      <c r="N24" s="21" t="s">
        <v>126</v>
      </c>
      <c r="O24" s="54">
        <v>15</v>
      </c>
      <c r="P24" s="17" t="s">
        <v>95</v>
      </c>
      <c r="Q24" s="17" t="s">
        <v>138</v>
      </c>
      <c r="R24" s="6"/>
      <c r="S24" s="6"/>
      <c r="T24" s="52"/>
      <c r="U24" s="6"/>
      <c r="V24" s="6"/>
      <c r="W24" s="9"/>
      <c r="X24" s="10"/>
    </row>
    <row r="25" spans="1:37" x14ac:dyDescent="0.2">
      <c r="A25" s="5"/>
      <c r="B25" s="28" t="s">
        <v>66</v>
      </c>
      <c r="C25" s="43">
        <f>SUM(C26:C30)</f>
        <v>0</v>
      </c>
      <c r="D25" s="43">
        <f>SUM(D26:D30)</f>
        <v>113965.30022624435</v>
      </c>
      <c r="E25" s="6"/>
      <c r="F25" s="42" t="s">
        <v>84</v>
      </c>
      <c r="G25" s="42">
        <f>SUM(G23:G24)</f>
        <v>378745.5882352941</v>
      </c>
      <c r="H25" s="42">
        <f>SUM(H23:H24)</f>
        <v>378745.5882352941</v>
      </c>
      <c r="I25" s="42">
        <f>SUM(I23:I24)</f>
        <v>442625</v>
      </c>
      <c r="J25" s="22"/>
      <c r="K25" s="31"/>
      <c r="L25" s="5"/>
      <c r="M25" s="10"/>
      <c r="N25" s="21"/>
      <c r="O25" s="24"/>
      <c r="P25" s="17"/>
      <c r="Q25" s="17"/>
      <c r="R25" s="6"/>
      <c r="S25" s="6"/>
      <c r="T25" s="52"/>
      <c r="U25" s="6"/>
      <c r="V25" s="6"/>
      <c r="W25" s="9"/>
      <c r="X25" s="10"/>
    </row>
    <row r="26" spans="1:37" x14ac:dyDescent="0.2">
      <c r="A26" s="5"/>
      <c r="B26" s="10" t="s">
        <v>168</v>
      </c>
      <c r="C26" s="44">
        <v>0</v>
      </c>
      <c r="D26" s="44">
        <f>V11</f>
        <v>10180.288461538465</v>
      </c>
      <c r="E26" s="6"/>
      <c r="F26" s="40"/>
      <c r="G26" s="40"/>
      <c r="H26" s="40"/>
      <c r="I26" s="40"/>
      <c r="J26" s="22"/>
      <c r="L26" s="5"/>
      <c r="M26" s="16" t="s">
        <v>140</v>
      </c>
      <c r="N26" s="10"/>
      <c r="O26" s="17"/>
      <c r="P26" s="17"/>
      <c r="Q26" s="17"/>
      <c r="R26" s="6"/>
      <c r="S26" s="6"/>
      <c r="T26" s="52"/>
      <c r="U26" s="6"/>
      <c r="V26" s="6"/>
      <c r="W26" s="9"/>
      <c r="X26" s="10"/>
    </row>
    <row r="27" spans="1:37" x14ac:dyDescent="0.2">
      <c r="A27" s="5"/>
      <c r="B27" s="10" t="s">
        <v>71</v>
      </c>
      <c r="C27" s="44">
        <v>0</v>
      </c>
      <c r="D27" s="44">
        <f>'Partial budget and income stat.'!V16</f>
        <v>10000</v>
      </c>
      <c r="E27" s="6"/>
      <c r="F27" s="42" t="s">
        <v>85</v>
      </c>
      <c r="G27" s="42">
        <f>G20-G25</f>
        <v>17729.411764705903</v>
      </c>
      <c r="H27" s="42">
        <f>H20-H25</f>
        <v>168615.27509803919</v>
      </c>
      <c r="I27" s="42">
        <f>I20-I25</f>
        <v>-369287.46205128205</v>
      </c>
      <c r="J27" s="22"/>
      <c r="L27" s="5"/>
      <c r="M27" s="10" t="s">
        <v>167</v>
      </c>
      <c r="N27" s="21" t="s">
        <v>127</v>
      </c>
      <c r="O27" s="30">
        <f>AVERAGE(AE15:AE18)/100</f>
        <v>0.10337500000000001</v>
      </c>
      <c r="P27" s="17" t="s">
        <v>96</v>
      </c>
      <c r="Q27" s="17" t="s">
        <v>89</v>
      </c>
      <c r="R27" s="6"/>
      <c r="S27" s="6"/>
      <c r="T27" s="52"/>
      <c r="U27" s="6"/>
      <c r="V27" s="6"/>
      <c r="W27" s="9"/>
      <c r="X27" s="10"/>
    </row>
    <row r="28" spans="1:37" x14ac:dyDescent="0.2">
      <c r="A28" s="5"/>
      <c r="B28" s="10" t="s">
        <v>169</v>
      </c>
      <c r="C28" s="44">
        <v>0</v>
      </c>
      <c r="D28" s="44">
        <f>'Partial budget and income stat.'!V17</f>
        <v>8055.6</v>
      </c>
      <c r="E28" s="6"/>
      <c r="F28" s="40" t="s">
        <v>174</v>
      </c>
      <c r="G28" s="40">
        <f>G27+$C$15+$C$16</f>
        <v>155154.4117647059</v>
      </c>
      <c r="H28" s="40">
        <f t="shared" ref="H28:I28" si="2">H27+$C$15+$C$16</f>
        <v>306040.27509803919</v>
      </c>
      <c r="I28" s="40">
        <f t="shared" si="2"/>
        <v>-231862.46205128205</v>
      </c>
      <c r="J28" s="23"/>
      <c r="L28" s="5"/>
      <c r="M28" s="10" t="s">
        <v>136</v>
      </c>
      <c r="N28" s="21" t="s">
        <v>128</v>
      </c>
      <c r="O28" s="30">
        <f>AVERAGE(AE7:AE12)/100</f>
        <v>7.7833333333333338E-2</v>
      </c>
      <c r="P28" s="17" t="s">
        <v>96</v>
      </c>
      <c r="Q28" s="17" t="s">
        <v>89</v>
      </c>
      <c r="R28" s="6"/>
      <c r="S28" s="6"/>
      <c r="T28" s="52"/>
      <c r="U28" s="6"/>
      <c r="V28" s="6"/>
      <c r="W28" s="9"/>
      <c r="X28" s="10"/>
    </row>
    <row r="29" spans="1:37" ht="15" x14ac:dyDescent="0.25">
      <c r="A29" s="5"/>
      <c r="B29" s="10" t="s">
        <v>170</v>
      </c>
      <c r="C29" s="44">
        <v>0</v>
      </c>
      <c r="D29" s="44">
        <f>'Partial budget and income stat.'!V18</f>
        <v>40000</v>
      </c>
      <c r="E29" s="6"/>
      <c r="F29" s="45" t="s">
        <v>175</v>
      </c>
      <c r="G29" s="45">
        <f>G28+$C$15+$C$16+G23</f>
        <v>441200</v>
      </c>
      <c r="H29" s="45">
        <f t="shared" ref="H29:I29" si="3">H28+$C$15+$C$16+H23</f>
        <v>592085.86333333328</v>
      </c>
      <c r="I29" s="45">
        <f t="shared" si="3"/>
        <v>118062.53794871795</v>
      </c>
      <c r="J29" s="9"/>
      <c r="L29" s="5"/>
      <c r="M29" s="10"/>
      <c r="N29" s="10"/>
      <c r="O29" s="17"/>
      <c r="P29" s="17"/>
      <c r="Q29" s="50" t="s">
        <v>137</v>
      </c>
      <c r="R29" s="6"/>
      <c r="S29" s="6"/>
      <c r="T29" s="52"/>
      <c r="U29" s="6"/>
      <c r="V29" s="6"/>
      <c r="W29" s="9"/>
      <c r="X29" s="10"/>
    </row>
    <row r="30" spans="1:37" x14ac:dyDescent="0.2">
      <c r="A30" s="5"/>
      <c r="B30" s="10" t="s">
        <v>171</v>
      </c>
      <c r="C30" s="44">
        <v>0</v>
      </c>
      <c r="D30" s="44">
        <f>'Partial budget and income stat.'!V6</f>
        <v>45729.411764705881</v>
      </c>
      <c r="E30" s="6"/>
      <c r="F30" s="6"/>
      <c r="G30" s="6"/>
      <c r="H30" s="6"/>
      <c r="I30" s="6"/>
      <c r="J30" s="23"/>
      <c r="L30" s="5"/>
      <c r="M30" s="16" t="s">
        <v>141</v>
      </c>
      <c r="N30" s="10"/>
      <c r="O30" s="17"/>
      <c r="P30" s="17"/>
      <c r="Q30" s="17"/>
      <c r="R30" s="6"/>
      <c r="S30" s="10"/>
      <c r="T30" s="52"/>
      <c r="U30" s="6"/>
      <c r="V30" s="6"/>
      <c r="W30" s="9"/>
      <c r="X30" s="10"/>
    </row>
    <row r="31" spans="1:37" x14ac:dyDescent="0.2">
      <c r="A31" s="5"/>
      <c r="B31" s="10"/>
      <c r="C31" s="40"/>
      <c r="D31" s="40"/>
      <c r="E31" s="6"/>
      <c r="F31" s="6"/>
      <c r="G31" s="6"/>
      <c r="H31" s="20"/>
      <c r="I31" s="6"/>
      <c r="J31" s="23"/>
      <c r="L31" s="5"/>
      <c r="M31" s="10" t="s">
        <v>71</v>
      </c>
      <c r="N31" s="21" t="s">
        <v>129</v>
      </c>
      <c r="O31" s="17">
        <v>0.2</v>
      </c>
      <c r="P31" s="17" t="s">
        <v>144</v>
      </c>
      <c r="Q31" s="17" t="s">
        <v>145</v>
      </c>
      <c r="R31" s="6"/>
      <c r="S31" s="6"/>
      <c r="T31" s="52"/>
      <c r="U31" s="6"/>
      <c r="V31" s="6"/>
      <c r="W31" s="9"/>
      <c r="X31" s="10"/>
    </row>
    <row r="32" spans="1:37" x14ac:dyDescent="0.2">
      <c r="A32" s="5"/>
      <c r="B32" s="28" t="s">
        <v>67</v>
      </c>
      <c r="C32" s="43">
        <f>SUM(C33:C35)</f>
        <v>0</v>
      </c>
      <c r="D32" s="43">
        <f>SUM(D33:D35)</f>
        <v>204894.17307692306</v>
      </c>
      <c r="E32" s="6"/>
      <c r="F32" s="6"/>
      <c r="G32" s="48"/>
      <c r="H32" s="20"/>
      <c r="I32" s="6"/>
      <c r="J32" s="9"/>
      <c r="L32" s="5"/>
      <c r="M32" s="10" t="s">
        <v>146</v>
      </c>
      <c r="N32" s="21" t="s">
        <v>130</v>
      </c>
      <c r="O32" s="17">
        <v>0.01</v>
      </c>
      <c r="P32" s="17" t="s">
        <v>96</v>
      </c>
      <c r="Q32" s="17" t="s">
        <v>145</v>
      </c>
      <c r="R32" s="6"/>
      <c r="S32" s="6"/>
      <c r="T32" s="52"/>
      <c r="U32" s="6"/>
      <c r="V32" s="6"/>
      <c r="W32" s="9"/>
      <c r="X32" s="10"/>
    </row>
    <row r="33" spans="1:24" x14ac:dyDescent="0.2">
      <c r="A33" s="5"/>
      <c r="B33" s="10" t="s">
        <v>0</v>
      </c>
      <c r="C33" s="40" t="s">
        <v>108</v>
      </c>
      <c r="D33" s="40">
        <f>'Partial budget and income stat.'!V9</f>
        <v>200098.5</v>
      </c>
      <c r="E33" s="6"/>
      <c r="F33" s="6"/>
      <c r="G33" s="49"/>
      <c r="H33" s="6"/>
      <c r="I33" s="6"/>
      <c r="J33" s="9"/>
      <c r="L33" s="5"/>
      <c r="M33" s="25" t="s">
        <v>147</v>
      </c>
      <c r="N33" s="55" t="s">
        <v>131</v>
      </c>
      <c r="O33" s="32">
        <v>0.8</v>
      </c>
      <c r="P33" s="32" t="s">
        <v>144</v>
      </c>
      <c r="Q33" s="32" t="s">
        <v>145</v>
      </c>
      <c r="R33" s="6"/>
      <c r="S33" s="6"/>
      <c r="T33" s="52"/>
      <c r="U33" s="6"/>
      <c r="V33" s="6"/>
      <c r="W33" s="9"/>
      <c r="X33" s="10"/>
    </row>
    <row r="34" spans="1:24" x14ac:dyDescent="0.2">
      <c r="A34" s="5"/>
      <c r="B34" s="10" t="s">
        <v>1</v>
      </c>
      <c r="C34" s="40" t="s">
        <v>108</v>
      </c>
      <c r="D34" s="40">
        <f>V10</f>
        <v>4795.673076923078</v>
      </c>
      <c r="E34" s="6"/>
      <c r="F34" s="6"/>
      <c r="G34" s="6"/>
      <c r="H34" s="6"/>
      <c r="I34" s="6"/>
      <c r="J34" s="9"/>
      <c r="L34" s="5"/>
      <c r="M34" s="6"/>
      <c r="N34" s="56"/>
      <c r="O34" s="57"/>
      <c r="P34" s="57"/>
      <c r="Q34" s="57"/>
      <c r="R34" s="6"/>
      <c r="S34" s="6"/>
      <c r="T34" s="52"/>
      <c r="U34" s="6"/>
      <c r="V34" s="6"/>
      <c r="W34" s="9"/>
      <c r="X34" s="10"/>
    </row>
    <row r="35" spans="1:24" x14ac:dyDescent="0.2">
      <c r="A35" s="5"/>
      <c r="B35" s="10"/>
      <c r="C35" s="40"/>
      <c r="D35" s="40"/>
      <c r="E35" s="6"/>
      <c r="F35" s="6"/>
      <c r="G35" s="6"/>
      <c r="H35" s="20"/>
      <c r="I35" s="6"/>
      <c r="J35" s="9"/>
      <c r="L35" s="5"/>
      <c r="M35" s="6"/>
      <c r="N35" s="56"/>
      <c r="O35" s="57"/>
      <c r="P35" s="57"/>
      <c r="Q35" s="57"/>
      <c r="R35" s="6"/>
      <c r="S35" s="6"/>
      <c r="T35" s="52"/>
      <c r="U35" s="6"/>
      <c r="V35" s="6"/>
      <c r="W35" s="9"/>
      <c r="X35" s="10"/>
    </row>
    <row r="36" spans="1:24" x14ac:dyDescent="0.2">
      <c r="A36" s="5"/>
      <c r="B36" s="28" t="s">
        <v>68</v>
      </c>
      <c r="C36" s="43">
        <f>SUM(C37:C38)</f>
        <v>150885.86333333337</v>
      </c>
      <c r="D36" s="43">
        <f>SUM(D37:D38)</f>
        <v>0</v>
      </c>
      <c r="E36" s="6"/>
      <c r="F36" s="6"/>
      <c r="G36" s="6"/>
      <c r="H36" s="20"/>
      <c r="I36" s="6"/>
      <c r="J36" s="9"/>
      <c r="L36" s="5"/>
      <c r="M36" s="6"/>
      <c r="N36" s="56"/>
      <c r="O36" s="57"/>
      <c r="P36" s="57"/>
      <c r="Q36" s="57"/>
      <c r="R36" s="6"/>
      <c r="S36" s="6"/>
      <c r="T36" s="6"/>
      <c r="U36" s="6"/>
      <c r="V36" s="6"/>
      <c r="W36" s="9"/>
      <c r="X36" s="10"/>
    </row>
    <row r="37" spans="1:24" ht="13.5" thickBot="1" x14ac:dyDescent="0.25">
      <c r="A37" s="5"/>
      <c r="B37" s="10" t="s">
        <v>107</v>
      </c>
      <c r="C37" s="40">
        <f>'Partial budget and income stat.'!U14</f>
        <v>150885.86333333337</v>
      </c>
      <c r="D37" s="44">
        <v>0</v>
      </c>
      <c r="E37" s="6"/>
      <c r="F37" s="6"/>
      <c r="G37" s="6"/>
      <c r="H37" s="6"/>
      <c r="I37" s="6"/>
      <c r="J37" s="9"/>
      <c r="L37" s="3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/>
      <c r="X37" s="10"/>
    </row>
    <row r="38" spans="1:24" x14ac:dyDescent="0.2">
      <c r="A38" s="5"/>
      <c r="B38" s="10"/>
      <c r="C38" s="40"/>
      <c r="D38" s="40"/>
      <c r="E38" s="6"/>
      <c r="F38" s="6"/>
      <c r="G38" s="6"/>
      <c r="H38" s="6"/>
      <c r="I38" s="6"/>
      <c r="J38" s="9"/>
    </row>
    <row r="39" spans="1:24" x14ac:dyDescent="0.2">
      <c r="A39" s="5"/>
      <c r="B39" s="28" t="s">
        <v>69</v>
      </c>
      <c r="C39" s="43">
        <f>SUM(C40:C41)</f>
        <v>0</v>
      </c>
      <c r="D39" s="43">
        <f>SUM(D40:D41)</f>
        <v>477945.7466666667</v>
      </c>
      <c r="E39" s="6"/>
      <c r="F39" s="6"/>
      <c r="G39" s="6"/>
      <c r="H39" s="6"/>
      <c r="I39" s="6"/>
      <c r="J39" s="9"/>
    </row>
    <row r="40" spans="1:24" x14ac:dyDescent="0.2">
      <c r="A40" s="5"/>
      <c r="B40" s="10" t="s">
        <v>107</v>
      </c>
      <c r="C40" s="44">
        <v>0</v>
      </c>
      <c r="D40" s="40">
        <f>'Partial budget and income stat.'!V13</f>
        <v>459795.7466666667</v>
      </c>
      <c r="E40" s="6"/>
      <c r="F40" s="6"/>
      <c r="G40" s="6"/>
      <c r="H40" s="6"/>
      <c r="I40" s="6"/>
      <c r="J40" s="9"/>
    </row>
    <row r="41" spans="1:24" x14ac:dyDescent="0.2">
      <c r="A41" s="5"/>
      <c r="B41" s="25" t="s">
        <v>148</v>
      </c>
      <c r="C41" s="45"/>
      <c r="D41" s="45">
        <f>'Partial budget and income stat.'!V7</f>
        <v>18150</v>
      </c>
      <c r="E41" s="6"/>
      <c r="F41" s="6"/>
      <c r="G41" s="20"/>
      <c r="H41" s="6"/>
      <c r="I41" s="6"/>
      <c r="J41" s="9"/>
    </row>
    <row r="42" spans="1:24" x14ac:dyDescent="0.2">
      <c r="A42" s="5"/>
      <c r="B42" s="10"/>
      <c r="C42" s="40"/>
      <c r="D42" s="40"/>
      <c r="E42" s="6"/>
      <c r="F42" s="7"/>
      <c r="G42" s="20"/>
      <c r="H42" s="6"/>
      <c r="I42" s="6"/>
      <c r="J42" s="9"/>
      <c r="Q42" s="31"/>
      <c r="V42" s="62"/>
    </row>
    <row r="43" spans="1:24" x14ac:dyDescent="0.2">
      <c r="A43" s="5"/>
      <c r="B43" s="6" t="s">
        <v>172</v>
      </c>
      <c r="C43" s="53">
        <f>-C25+C32+C36-C39</f>
        <v>150885.86333333337</v>
      </c>
      <c r="D43" s="53">
        <f>-D25+D32+D36-D39</f>
        <v>-387016.87381598796</v>
      </c>
      <c r="E43" s="6"/>
      <c r="F43" s="7"/>
      <c r="G43" s="20"/>
      <c r="H43" s="6"/>
      <c r="I43" s="6"/>
      <c r="J43" s="9"/>
      <c r="P43" s="58"/>
      <c r="V43" s="62"/>
    </row>
    <row r="44" spans="1:24" ht="13.5" thickBot="1" x14ac:dyDescent="0.25">
      <c r="A44" s="33"/>
      <c r="B44" s="34"/>
      <c r="C44" s="34"/>
      <c r="D44" s="34"/>
      <c r="E44" s="34"/>
      <c r="F44" s="34"/>
      <c r="G44" s="36"/>
      <c r="H44" s="34"/>
      <c r="I44" s="34"/>
      <c r="J44" s="35"/>
    </row>
    <row r="45" spans="1:24" x14ac:dyDescent="0.2">
      <c r="G45" s="31"/>
    </row>
    <row r="46" spans="1:24" x14ac:dyDescent="0.2">
      <c r="C46" s="39"/>
    </row>
    <row r="47" spans="1:24" x14ac:dyDescent="0.2">
      <c r="C47" s="39"/>
    </row>
    <row r="48" spans="1:24" x14ac:dyDescent="0.2">
      <c r="C48" s="39"/>
    </row>
    <row r="49" spans="3:3" x14ac:dyDescent="0.2">
      <c r="C49" s="39"/>
    </row>
    <row r="50" spans="3:3" x14ac:dyDescent="0.2">
      <c r="C50" s="39"/>
    </row>
    <row r="51" spans="3:3" x14ac:dyDescent="0.2">
      <c r="C51" s="39"/>
    </row>
    <row r="52" spans="3:3" x14ac:dyDescent="0.2">
      <c r="C52" s="39"/>
    </row>
    <row r="53" spans="3:3" x14ac:dyDescent="0.2">
      <c r="C53" s="39"/>
    </row>
    <row r="54" spans="3:3" x14ac:dyDescent="0.2">
      <c r="C54" s="39"/>
    </row>
    <row r="55" spans="3:3" x14ac:dyDescent="0.2">
      <c r="C55" s="39"/>
    </row>
    <row r="56" spans="3:3" x14ac:dyDescent="0.2">
      <c r="C56" s="39"/>
    </row>
    <row r="57" spans="3:3" x14ac:dyDescent="0.2">
      <c r="C57" s="39"/>
    </row>
    <row r="58" spans="3:3" x14ac:dyDescent="0.2">
      <c r="C58" s="39"/>
    </row>
    <row r="59" spans="3:3" x14ac:dyDescent="0.2">
      <c r="C59" s="39"/>
    </row>
    <row r="60" spans="3:3" x14ac:dyDescent="0.2">
      <c r="C60" s="39"/>
    </row>
    <row r="61" spans="3:3" x14ac:dyDescent="0.2">
      <c r="C61" s="39"/>
    </row>
    <row r="62" spans="3:3" x14ac:dyDescent="0.2">
      <c r="C62" s="39"/>
    </row>
    <row r="63" spans="3:3" x14ac:dyDescent="0.2">
      <c r="C63" s="39"/>
    </row>
    <row r="64" spans="3:3" x14ac:dyDescent="0.2">
      <c r="C64" s="39"/>
    </row>
    <row r="65" spans="3:3" x14ac:dyDescent="0.2">
      <c r="C65" s="39"/>
    </row>
    <row r="66" spans="3:3" x14ac:dyDescent="0.2">
      <c r="C66" s="39"/>
    </row>
    <row r="67" spans="3:3" x14ac:dyDescent="0.2">
      <c r="C67" s="39"/>
    </row>
    <row r="68" spans="3:3" x14ac:dyDescent="0.2">
      <c r="C68" s="39"/>
    </row>
  </sheetData>
  <mergeCells count="9">
    <mergeCell ref="AG4:AG6"/>
    <mergeCell ref="B22:D22"/>
    <mergeCell ref="M2:Q2"/>
    <mergeCell ref="U3:V3"/>
    <mergeCell ref="S2:V2"/>
    <mergeCell ref="F4:I4"/>
    <mergeCell ref="B21:D21"/>
    <mergeCell ref="B2:F2"/>
    <mergeCell ref="G2:I2"/>
  </mergeCells>
  <phoneticPr fontId="9" type="noConversion"/>
  <hyperlinks>
    <hyperlink ref="Q29" r:id="rId1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 data BINTERNET</vt:lpstr>
      <vt:lpstr>Partial budget and income stat.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Sok, Jaap</dc:creator>
  <cp:lastModifiedBy>Sok, Jaap</cp:lastModifiedBy>
  <dcterms:created xsi:type="dcterms:W3CDTF">2019-04-15T07:38:32Z</dcterms:created>
  <dcterms:modified xsi:type="dcterms:W3CDTF">2020-10-06T11:14:07Z</dcterms:modified>
</cp:coreProperties>
</file>