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DBA88AFD-72C0-48D9-86AB-E370439D2858}" xr6:coauthVersionLast="34" xr6:coauthVersionMax="34" xr10:uidLastSave="{00000000-0000-0000-0000-000000000000}"/>
  <bookViews>
    <workbookView xWindow="0" yWindow="0" windowWidth="28800" windowHeight="12180" xr2:uid="{00000000-000D-0000-FFFF-FFFF0000000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C23" i="1"/>
  <c r="B23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20" i="1"/>
  <c r="J20" i="1"/>
  <c r="I20" i="1"/>
  <c r="H20" i="1"/>
  <c r="G20" i="1"/>
  <c r="F20" i="1"/>
  <c r="E20" i="1"/>
  <c r="D20" i="1"/>
  <c r="C20" i="1"/>
  <c r="B20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7" i="1"/>
  <c r="J17" i="1"/>
  <c r="I17" i="1"/>
  <c r="H17" i="1"/>
  <c r="G17" i="1"/>
  <c r="F17" i="1"/>
  <c r="E17" i="1"/>
  <c r="D17" i="1"/>
  <c r="C17" i="1"/>
  <c r="B17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<sst xmlns="http://schemas.openxmlformats.org/spreadsheetml/2006/main" count="44" uniqueCount="44">
  <si>
    <t>Regions</t>
  </si>
  <si>
    <t>Size (bp)</t>
  </si>
  <si>
    <t>T(U)</t>
  </si>
  <si>
    <t>C</t>
  </si>
  <si>
    <t>A</t>
  </si>
  <si>
    <t>G</t>
  </si>
  <si>
    <t>AT(%)</t>
  </si>
  <si>
    <t>GC(%)</t>
  </si>
  <si>
    <t>GT(%)</t>
  </si>
  <si>
    <t>AT skew</t>
  </si>
  <si>
    <t>GC skew</t>
  </si>
  <si>
    <t>PCGs</t>
  </si>
  <si>
    <t>10154/10160/10126</t>
  </si>
  <si>
    <t>47.8/48/48.9</t>
  </si>
  <si>
    <t>10/9.9/11</t>
  </si>
  <si>
    <t>16.2/15.6/14</t>
  </si>
  <si>
    <t>26/26.5/26.2</t>
  </si>
  <si>
    <t>64/63.6/62.9</t>
  </si>
  <si>
    <t>36/36.4/37.2</t>
  </si>
  <si>
    <t>73.8/74.5/75.1</t>
  </si>
  <si>
    <t>0.445/0.456/0.407</t>
  </si>
  <si>
    <t>1st codon position</t>
  </si>
  <si>
    <t>2nd codon position</t>
  </si>
  <si>
    <t>3rd codon position</t>
  </si>
  <si>
    <t>atp6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</si>
  <si>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</si>
  <si>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</si>
  <si>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</si>
  <si>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</si>
  <si>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</si>
  <si>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</si>
  <si>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</si>
  <si>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</si>
  <si>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</si>
  <si>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</si>
  <si>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</si>
  <si>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rrnL</t>
  </si>
  <si>
    <t>rrnS</t>
  </si>
  <si>
    <t>tRNAs</t>
  </si>
  <si>
    <t>rRNAs</t>
  </si>
  <si>
    <t>Full genome</t>
  </si>
  <si>
    <r>
      <rPr>
        <i/>
        <sz val="12"/>
        <color theme="1"/>
        <rFont val="Times New Roman"/>
        <family val="1"/>
      </rPr>
      <t>Brachydistomum</t>
    </r>
    <r>
      <rPr>
        <sz val="12"/>
        <color theme="1"/>
        <rFont val="Times New Roman"/>
        <family val="1"/>
      </rPr>
      <t xml:space="preserve"> sp./</t>
    </r>
    <r>
      <rPr>
        <i/>
        <sz val="12"/>
        <color theme="1"/>
        <rFont val="Times New Roman"/>
        <family val="1"/>
      </rPr>
      <t>Brachylecithum</t>
    </r>
    <r>
      <rPr>
        <sz val="12"/>
        <color theme="1"/>
        <rFont val="Times New Roman"/>
        <family val="1"/>
      </rPr>
      <t xml:space="preserve"> sp. /</t>
    </r>
    <r>
      <rPr>
        <i/>
        <sz val="12"/>
        <color theme="1"/>
        <rFont val="Times New Roman"/>
        <family val="1"/>
      </rPr>
      <t>Lyperosomum longicauda</t>
    </r>
  </si>
  <si>
    <t>/-0.493/-0.51/-0.555</t>
  </si>
  <si>
    <r>
      <t>Additional file 3: Table S2.</t>
    </r>
    <r>
      <rPr>
        <sz val="12"/>
        <rFont val="Times New Roman"/>
        <family val="1"/>
      </rPr>
      <t xml:space="preserve"> Nucleotide composition and skewness of three newly sequenced dicrocoeliids mitochondrial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</si>
</sst>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/>
  </sheetViews>
  <sheetFormatPr defaultRowHeight="13.5" x14ac:dyDescent="0.15"/>
  <cols>
    <col min="1" max="1" width="17.875" customWidth="1"/>
    <col min="2" max="2" width="20.25" customWidth="1"/>
    <col min="3" max="3" width="14.875" customWidth="1"/>
    <col min="4" max="5" width="14.25" customWidth="1"/>
    <col min="6" max="6" width="14.625" customWidth="1"/>
    <col min="7" max="8" width="14.25" customWidth="1"/>
    <col min="9" max="9" width="14.375" customWidth="1"/>
    <col min="10" max="10" width="20.75" customWidth="1"/>
    <col min="11" max="11" width="18" customWidth="1"/>
  </cols>
  <sheetData>
    <row r="1" spans="1:11" ht="15.75" x14ac:dyDescent="0.15">
      <c r="A1" s="3" t="s">
        <v>43</v>
      </c>
    </row>
    <row r="2" spans="1:1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42</v>
      </c>
      <c r="K4" s="1" t="s">
        <v>20</v>
      </c>
    </row>
    <row r="5" spans="1:11" ht="15.75" x14ac:dyDescent="0.25">
      <c r="A5" s="1" t="s">
        <v>21</v>
      </c>
      <c r="B5" s="1" t="str">
        <f>"3385/3387/3376"</f>
        <v>3385/3387/3376</v>
      </c>
      <c r="C5" s="1" t="str">
        <f>"44.7/45.0/49.1"</f>
        <v>44.7/45.0/49.1</v>
      </c>
      <c r="D5" s="1" t="str">
        <f>"12.6/12.3/9.1"</f>
        <v>12.6/12.3/9.1</v>
      </c>
      <c r="E5" s="1" t="str">
        <f>"16.8/17.2/14.0"</f>
        <v>16.8/17.2/14.0</v>
      </c>
      <c r="F5" s="1" t="str">
        <f>"25.9/25.5/27.9"</f>
        <v>25.9/25.5/27.9</v>
      </c>
      <c r="G5" s="1" t="str">
        <f>"61.5/62.2/63.1"</f>
        <v>61.5/62.2/63.1</v>
      </c>
      <c r="H5" s="1" t="str">
        <f>"38.5/37.8/37.0"</f>
        <v>38.5/37.8/37.0</v>
      </c>
      <c r="I5" s="1" t="str">
        <f>"70.6/70.5/77.0"</f>
        <v>70.6/70.5/77.0</v>
      </c>
      <c r="J5" s="1" t="str">
        <f>"-0.453/-0.446/-0.557"</f>
        <v>-0.453/-0.446/-0.557</v>
      </c>
      <c r="K5" s="1" t="str">
        <f>"0.346/0.349/0.510"</f>
        <v>0.346/0.349/0.510</v>
      </c>
    </row>
    <row r="6" spans="1:11" ht="15.75" x14ac:dyDescent="0.25">
      <c r="A6" s="1" t="s">
        <v>22</v>
      </c>
      <c r="B6" s="1" t="str">
        <f>"3385/3387/3375"</f>
        <v>3385/3387/3375</v>
      </c>
      <c r="C6" s="1" t="str">
        <f>"50.3/51.2/45.3"</f>
        <v>50.3/51.2/45.3</v>
      </c>
      <c r="D6" s="1" t="str">
        <f>"10.7/9.8/13.8"</f>
        <v>10.7/9.8/13.8</v>
      </c>
      <c r="E6" s="1" t="str">
        <f>"15.9/13.8/16.2"</f>
        <v>15.9/13.8/16.2</v>
      </c>
      <c r="F6" s="1" t="str">
        <f>"23.2/25.2/24.7"</f>
        <v>23.2/25.2/24.7</v>
      </c>
      <c r="G6" s="1" t="str">
        <f>"66.2/65.0/61.5"</f>
        <v>66.2/65.0/61.5</v>
      </c>
      <c r="H6" s="1" t="str">
        <f>"33.9/35.0/38.5"</f>
        <v>33.9/35.0/38.5</v>
      </c>
      <c r="I6" s="1" t="str">
        <f>"73.5/76.4/70.0"</f>
        <v>73.5/76.4/70.0</v>
      </c>
      <c r="J6" s="1" t="str">
        <f>"-0.519/-0.576/-0.474"</f>
        <v>-0.519/-0.576/-0.474</v>
      </c>
      <c r="K6" s="1" t="str">
        <f>"0.370/0.438/0.285"</f>
        <v>0.370/0.438/0.285</v>
      </c>
    </row>
    <row r="7" spans="1:11" ht="15.75" x14ac:dyDescent="0.25">
      <c r="A7" s="1" t="s">
        <v>23</v>
      </c>
      <c r="B7" s="1" t="str">
        <f>"3384/3386/3375"</f>
        <v>3384/3386/3375</v>
      </c>
      <c r="C7" s="1" t="str">
        <f>"48.5/47.7/52.2"</f>
        <v>48.5/47.7/52.2</v>
      </c>
      <c r="D7" s="1" t="str">
        <f>"6.6/7.6/10.3"</f>
        <v>6.6/7.6/10.3</v>
      </c>
      <c r="E7" s="1" t="str">
        <f>"16.0/15.7/11.8"</f>
        <v>16.0/15.7/11.8</v>
      </c>
      <c r="F7" s="1" t="str">
        <f>"28.8/29.0/25.8"</f>
        <v>28.8/29.0/25.8</v>
      </c>
      <c r="G7" s="1" t="str">
        <f>"64.5/63.4/64.0"</f>
        <v>64.5/63.4/64.0</v>
      </c>
      <c r="H7" s="1" t="str">
        <f>"35.4/36.6/36.1"</f>
        <v>35.4/36.6/36.1</v>
      </c>
      <c r="I7" s="1" t="str">
        <f>"77.3/76.7/78.0"</f>
        <v>77.3/76.7/78.0</v>
      </c>
      <c r="J7" s="1" t="str">
        <f>"-0.503/-0.505/-0.632"</f>
        <v>-0.503/-0.505/-0.632</v>
      </c>
      <c r="K7" s="1" t="str">
        <f>"0.625/0.583/0.431"</f>
        <v>0.625/0.583/0.431</v>
      </c>
    </row>
    <row r="8" spans="1:11" ht="15.75" x14ac:dyDescent="0.25">
      <c r="A8" s="1" t="s">
        <v>24</v>
      </c>
      <c r="B8" s="1" t="str">
        <f>"510/510/519"</f>
        <v>510/510/519</v>
      </c>
      <c r="C8" s="1" t="str">
        <f>"50.4/43.9/52.4"</f>
        <v>50.4/43.9/52.4</v>
      </c>
      <c r="D8" s="1" t="str">
        <f>"10.0/15.5/9.1"</f>
        <v>10.0/15.5/9.1</v>
      </c>
      <c r="E8" s="1" t="str">
        <f>"12.5/18.6/10.6"</f>
        <v>12.5/18.6/10.6</v>
      </c>
      <c r="F8" s="1" t="str">
        <f>"27.1/22.0/27.9"</f>
        <v>27.1/22.0/27.9</v>
      </c>
      <c r="G8" s="1" t="str">
        <f>"62.9/62.5/63.0"</f>
        <v>62.9/62.5/63.0</v>
      </c>
      <c r="H8" s="1" t="str">
        <f>"37.1/37.5/37.0"</f>
        <v>37.1/37.5/37.0</v>
      </c>
      <c r="I8" s="1" t="str">
        <f>"77.5/65.9/80.3"</f>
        <v>77.5/65.9/80.3</v>
      </c>
      <c r="J8" s="1" t="str">
        <f>"-0.601/-0.404/-0.664"</f>
        <v>-0.601/-0.404/-0.664</v>
      </c>
      <c r="K8" s="1" t="str">
        <f>"0.460/0.173/0.510"</f>
        <v>0.460/0.173/0.510</v>
      </c>
    </row>
    <row r="9" spans="1:11" ht="15.75" x14ac:dyDescent="0.25">
      <c r="A9" s="1" t="s">
        <v>25</v>
      </c>
      <c r="B9" s="1" t="str">
        <f>"1557/1551/1548"</f>
        <v>1557/1551/1548</v>
      </c>
      <c r="C9" s="1" t="str">
        <f>"45.3/46.6/47.1"</f>
        <v>45.3/46.6/47.1</v>
      </c>
      <c r="D9" s="1" t="str">
        <f>"11.7/11.5/11.9"</f>
        <v>11.7/11.5/11.9</v>
      </c>
      <c r="E9" s="1" t="str">
        <f>"17.9/16.1/15.8"</f>
        <v>17.9/16.1/15.8</v>
      </c>
      <c r="F9" s="1" t="str">
        <f>"25.1/25.8/25.3"</f>
        <v>25.1/25.8/25.3</v>
      </c>
      <c r="G9" s="1" t="str">
        <f>"63.2/62.7/62.9"</f>
        <v>63.2/62.7/62.9</v>
      </c>
      <c r="H9" s="1" t="str">
        <f>"36.8/37.3/37.2"</f>
        <v>36.8/37.3/37.2</v>
      </c>
      <c r="I9" s="1" t="str">
        <f>"70.4/72.4/72.4"</f>
        <v>70.4/72.4/72.4</v>
      </c>
      <c r="J9" s="1" t="str">
        <f>"-0.433/-0.486/-0.498"</f>
        <v>-0.433/-0.486/-0.498</v>
      </c>
      <c r="K9" s="1" t="str">
        <f>"0.365/0.382/0.360"</f>
        <v>0.365/0.382/0.360</v>
      </c>
    </row>
    <row r="10" spans="1:11" ht="15.75" x14ac:dyDescent="0.25">
      <c r="A10" s="1" t="s">
        <v>26</v>
      </c>
      <c r="B10" s="1" t="str">
        <f>"633/639/591"</f>
        <v>633/639/591</v>
      </c>
      <c r="C10" s="1" t="str">
        <f>"41.4/37.7/41.3"</f>
        <v>41.4/37.7/41.3</v>
      </c>
      <c r="D10" s="1" t="str">
        <f>"11.4/11.9/14.0"</f>
        <v>11.4/11.9/14.0</v>
      </c>
      <c r="E10" s="1" t="str">
        <f>"19.4/18.6/17.9"</f>
        <v>19.4/18.6/17.9</v>
      </c>
      <c r="F10" s="1" t="str">
        <f>"27.8/31.8/26.7"</f>
        <v>27.8/31.8/26.7</v>
      </c>
      <c r="G10" s="1" t="str">
        <f>"60.8/56.3/59.2"</f>
        <v>60.8/56.3/59.2</v>
      </c>
      <c r="H10" s="1" t="str">
        <f>"39.2/43.7/40.7"</f>
        <v>39.2/43.7/40.7</v>
      </c>
      <c r="I10" s="1" t="str">
        <f>"69.2/69.5/68.0"</f>
        <v>69.2/69.5/68.0</v>
      </c>
      <c r="J10" s="1" t="str">
        <f>"-0.361/-0.339/-0.394"</f>
        <v>-0.361/-0.339/-0.394</v>
      </c>
      <c r="K10" s="1" t="str">
        <f>"0.419/0.455/0.311"</f>
        <v>0.419/0.455/0.311</v>
      </c>
    </row>
    <row r="11" spans="1:11" ht="15.75" x14ac:dyDescent="0.25">
      <c r="A11" s="1" t="s">
        <v>27</v>
      </c>
      <c r="B11" s="1" t="str">
        <f>"651/651/645"</f>
        <v>651/651/645</v>
      </c>
      <c r="C11" s="1" t="str">
        <f>"48.7/50.5/49.1"</f>
        <v>48.7/50.5/49.1</v>
      </c>
      <c r="D11" s="1" t="str">
        <f>"11.2/8.4/11.6"</f>
        <v>11.2/8.4/11.6</v>
      </c>
      <c r="E11" s="1" t="str">
        <f>"14.1/14.0/14.7"</f>
        <v>14.1/14.0/14.7</v>
      </c>
      <c r="F11" s="1" t="str">
        <f>"26.0/27.0/24.5"</f>
        <v>26.0/27.0/24.5</v>
      </c>
      <c r="G11" s="1" t="str">
        <f>"62.8/64.5/63.8"</f>
        <v>62.8/64.5/63.8</v>
      </c>
      <c r="H11" s="1" t="str">
        <f>"37.2/35.4/36.1"</f>
        <v>37.2/35.4/36.1</v>
      </c>
      <c r="I11" s="1" t="str">
        <f>"74.7/77.5/73.6"</f>
        <v>74.7/77.5/73.6</v>
      </c>
      <c r="J11" s="1" t="str">
        <f>"-0.550/-0.567/-0.539"</f>
        <v>-0.550/-0.567/-0.539</v>
      </c>
      <c r="K11" s="1" t="str">
        <f>"0.397/0.524/0.356"</f>
        <v>0.397/0.524/0.356</v>
      </c>
    </row>
    <row r="12" spans="1:11" ht="15.75" x14ac:dyDescent="0.25">
      <c r="A12" s="1" t="s">
        <v>28</v>
      </c>
      <c r="B12" s="1" t="str">
        <f>"1119/1110/1116"</f>
        <v>1119/1110/1116</v>
      </c>
      <c r="C12" s="1" t="str">
        <f>"49.4/49.2/47.1"</f>
        <v>49.4/49.2/47.1</v>
      </c>
      <c r="D12" s="1" t="str">
        <f>"9.6/9.9/11.4"</f>
        <v>9.6/9.9/11.4</v>
      </c>
      <c r="E12" s="1" t="str">
        <f>"15.0/15.5/15.4"</f>
        <v>15.0/15.5/15.4</v>
      </c>
      <c r="F12" s="1" t="str">
        <f>"26.0/25.4/26.1"</f>
        <v>26.0/25.4/26.1</v>
      </c>
      <c r="G12" s="1" t="str">
        <f>"64.4/64.7/62.5"</f>
        <v>64.4/64.7/62.5</v>
      </c>
      <c r="H12" s="1" t="str">
        <f>"35.6/35.3/37.5"</f>
        <v>35.6/35.3/37.5</v>
      </c>
      <c r="I12" s="1" t="str">
        <f>"75.4/74.6/73.2"</f>
        <v>75.4/74.6/73.2</v>
      </c>
      <c r="J12" s="1" t="str">
        <f>"-0.534/-0.521/-0.507"</f>
        <v>-0.534/-0.521/-0.507</v>
      </c>
      <c r="K12" s="1" t="str">
        <f>"0.462/0.439/0.392"</f>
        <v>0.462/0.439/0.392</v>
      </c>
    </row>
    <row r="13" spans="1:11" ht="15.75" x14ac:dyDescent="0.25">
      <c r="A13" s="1" t="s">
        <v>29</v>
      </c>
      <c r="B13" s="1" t="str">
        <f>"907/904/906"</f>
        <v>907/904/906</v>
      </c>
      <c r="C13" s="1" t="str">
        <f>"47.5/47.0/49.4"</f>
        <v>47.5/47.0/49.4</v>
      </c>
      <c r="D13" s="1" t="str">
        <f>"9.3/10.1/10.4"</f>
        <v>9.3/10.1/10.4</v>
      </c>
      <c r="E13" s="1" t="str">
        <f>"16.3/17.3/13.6"</f>
        <v>16.3/17.3/13.6</v>
      </c>
      <c r="F13" s="1" t="str">
        <f>"26.9/25.7/26.6"</f>
        <v>26.9/25.7/26.6</v>
      </c>
      <c r="G13" s="1" t="str">
        <f>"63.8/64.3/63.0"</f>
        <v>63.8/64.3/63.0</v>
      </c>
      <c r="H13" s="1" t="str">
        <f>"36.2/35.8/37.0"</f>
        <v>36.2/35.8/37.0</v>
      </c>
      <c r="I13" s="1" t="str">
        <f>"74.4/72.7/76.0"</f>
        <v>74.4/72.7/76.0</v>
      </c>
      <c r="J13" s="1" t="str">
        <f>"-0.489/-0.463/-0.569"</f>
        <v>-0.489/-0.463/-0.569</v>
      </c>
      <c r="K13" s="1" t="str">
        <f>"0.488/0.437/0.439"</f>
        <v>0.488/0.437/0.439</v>
      </c>
    </row>
    <row r="14" spans="1:11" ht="15.75" x14ac:dyDescent="0.25">
      <c r="A14" s="1" t="s">
        <v>30</v>
      </c>
      <c r="B14" s="1" t="str">
        <f>"867/873/873"</f>
        <v>867/873/873</v>
      </c>
      <c r="C14" s="1" t="str">
        <f>"51.6/48.2/52.3"</f>
        <v>51.6/48.2/52.3</v>
      </c>
      <c r="D14" s="1" t="str">
        <f>"9.6/10.8/10.4"</f>
        <v>9.6/10.8/10.4</v>
      </c>
      <c r="E14" s="1" t="str">
        <f>"14.1/17.0/11.9"</f>
        <v>14.1/17.0/11.9</v>
      </c>
      <c r="F14" s="1" t="str">
        <f>"24.8/24.1/25.3"</f>
        <v>24.8/24.1/25.3</v>
      </c>
      <c r="G14" s="1" t="str">
        <f>"65.7/65.2/64.2"</f>
        <v>65.7/65.2/64.2</v>
      </c>
      <c r="H14" s="1" t="str">
        <f>"34.4/34.9/35.7"</f>
        <v>34.4/34.9/35.7</v>
      </c>
      <c r="I14" s="1" t="str">
        <f>"76.4/72.3/77.6"</f>
        <v>76.4/72.3/77.6</v>
      </c>
      <c r="J14" s="1" t="str">
        <f>"-0.571/-0.480/-0.629"</f>
        <v>-0.571/-0.480/-0.629</v>
      </c>
      <c r="K14" s="1" t="str">
        <f>"0.443/0.382/0.417"</f>
        <v>0.443/0.382/0.417</v>
      </c>
    </row>
    <row r="15" spans="1:11" ht="15.75" x14ac:dyDescent="0.25">
      <c r="A15" s="1" t="s">
        <v>31</v>
      </c>
      <c r="B15" s="1" t="str">
        <f>"349/349/346"</f>
        <v>349/349/346</v>
      </c>
      <c r="C15" s="1" t="str">
        <f>"45.0/54.4/53.5"</f>
        <v>45.0/54.4/53.5</v>
      </c>
      <c r="D15" s="1" t="str">
        <f>"9.7/6.6/7.2"</f>
        <v>9.7/6.6/7.2</v>
      </c>
      <c r="E15" s="1" t="str">
        <f>"19.2/13.2/12.1"</f>
        <v>19.2/13.2/12.1</v>
      </c>
      <c r="F15" s="1" t="str">
        <f>"26.1/25.8/27.2"</f>
        <v>26.1/25.8/27.2</v>
      </c>
      <c r="G15" s="1" t="str">
        <f>"64.2/67.6/65.6"</f>
        <v>64.2/67.6/65.6</v>
      </c>
      <c r="H15" s="1" t="str">
        <f>"35.8/32.4/34.4"</f>
        <v>35.8/32.4/34.4</v>
      </c>
      <c r="I15" s="1" t="str">
        <f>"71.1/80.2/80.7"</f>
        <v>71.1/80.2/80.7</v>
      </c>
      <c r="J15" s="1" t="str">
        <f>"-0.402/-0.610/-0.630"</f>
        <v>-0.402/-0.610/-0.630</v>
      </c>
      <c r="K15" s="1" t="str">
        <f>"0.456/0.593/0.580"</f>
        <v>0.456/0.593/0.580</v>
      </c>
    </row>
    <row r="16" spans="1:11" ht="15.75" x14ac:dyDescent="0.25">
      <c r="A16" s="1" t="s">
        <v>32</v>
      </c>
      <c r="B16" s="1" t="str">
        <f>"1269/1269/1284"</f>
        <v>1269/1269/1284</v>
      </c>
      <c r="C16" s="1" t="str">
        <f>"48.4/50.8/47.7"</f>
        <v>48.4/50.8/47.7</v>
      </c>
      <c r="D16" s="1" t="str">
        <f>"10.2/8.3/12.3"</f>
        <v>10.2/8.3/12.3</v>
      </c>
      <c r="E16" s="1" t="str">
        <f>"15.4/14.2/14.2"</f>
        <v>15.4/14.2/14.2</v>
      </c>
      <c r="F16" s="1" t="str">
        <f>"26.0/26.7/25.8"</f>
        <v>26.0/26.7/25.8</v>
      </c>
      <c r="G16" s="1" t="str">
        <f>"63.8/65.0/61.9"</f>
        <v>63.8/65.0/61.9</v>
      </c>
      <c r="H16" s="1" t="str">
        <f>"36.2/35.0/38.1"</f>
        <v>36.2/35.0/38.1</v>
      </c>
      <c r="I16" s="1" t="str">
        <f>"74.4/77.5/73.5"</f>
        <v>74.4/77.5/73.5</v>
      </c>
      <c r="J16" s="1" t="str">
        <f>"-0.518/-0.564/-0.542"</f>
        <v>-0.518/-0.564/-0.542</v>
      </c>
      <c r="K16" s="1" t="str">
        <f>"0.435/0.527/0.354"</f>
        <v>0.435/0.527/0.354</v>
      </c>
    </row>
    <row r="17" spans="1:11" ht="15.75" x14ac:dyDescent="0.25">
      <c r="A17" s="1" t="s">
        <v>33</v>
      </c>
      <c r="B17" s="1" t="str">
        <f>"270/264/270"</f>
        <v>270/264/270</v>
      </c>
      <c r="C17" s="1" t="str">
        <f>"46.3/50.4/46.7"</f>
        <v>46.3/50.4/46.7</v>
      </c>
      <c r="D17" s="1" t="str">
        <f>"6.3/7.2/8.1"</f>
        <v>6.3/7.2/8.1</v>
      </c>
      <c r="E17" s="1" t="str">
        <f>"20.0/16.3/14.4"</f>
        <v>20.0/16.3/14.4</v>
      </c>
      <c r="F17" s="1" t="str">
        <f>"27.4/26.1/30.7"</f>
        <v>27.4/26.1/30.7</v>
      </c>
      <c r="G17" s="1" t="str">
        <f>"66.3/66.7/61.1"</f>
        <v>66.3/66.7/61.1</v>
      </c>
      <c r="H17" s="1" t="str">
        <f>"33.7/33.3/38.8"</f>
        <v>33.7/33.3/38.8</v>
      </c>
      <c r="I17" s="1" t="str">
        <f>"73.7/76.5/77.4"</f>
        <v>73.7/76.5/77.4</v>
      </c>
      <c r="J17" s="1" t="str">
        <f>"-0.397/-0.511/-0.527"</f>
        <v>-0.397/-0.511/-0.527</v>
      </c>
      <c r="K17" s="1" t="str">
        <f>"0.626/0.568/0.581"</f>
        <v>0.626/0.568/0.581</v>
      </c>
    </row>
    <row r="18" spans="1:11" ht="15.75" x14ac:dyDescent="0.25">
      <c r="A18" s="1" t="s">
        <v>34</v>
      </c>
      <c r="B18" s="1" t="str">
        <f>"1572/1578/1578"</f>
        <v>1572/1578/1578</v>
      </c>
      <c r="C18" s="1" t="str">
        <f>"49.3/48.5/50.6"</f>
        <v>49.3/48.5/50.6</v>
      </c>
      <c r="D18" s="1" t="str">
        <f>"8.1/8.3/10.3"</f>
        <v>8.1/8.3/10.3</v>
      </c>
      <c r="E18" s="1" t="str">
        <f>"16.5/13.8/12.7"</f>
        <v>16.5/13.8/12.7</v>
      </c>
      <c r="F18" s="1" t="str">
        <f>"26.1/29.4/26.4"</f>
        <v>26.1/29.4/26.4</v>
      </c>
      <c r="G18" s="1" t="str">
        <f>"65.8/62.3/63.3"</f>
        <v>65.8/62.3/63.3</v>
      </c>
      <c r="H18" s="1" t="str">
        <f>"34.2/37.7/36.7"</f>
        <v>34.2/37.7/36.7</v>
      </c>
      <c r="I18" s="1" t="str">
        <f>"75.4/77.9/77.0"</f>
        <v>75.4/77.9/77.0</v>
      </c>
      <c r="J18" s="1" t="str">
        <f>"-0.498/-0.558/-0.598"</f>
        <v>-0.498/-0.558/-0.598</v>
      </c>
      <c r="K18" s="1" t="str">
        <f>"0.527/0.560/0.440"</f>
        <v>0.527/0.560/0.440</v>
      </c>
    </row>
    <row r="19" spans="1:11" ht="15.75" x14ac:dyDescent="0.25">
      <c r="A19" s="1" t="s">
        <v>35</v>
      </c>
      <c r="B19" s="1" t="str">
        <f>"450/462/450"</f>
        <v>450/462/450</v>
      </c>
      <c r="C19" s="1" t="str">
        <f>"47.3/50.0/51.6"</f>
        <v>47.3/50.0/51.6</v>
      </c>
      <c r="D19" s="1" t="str">
        <f>"11.6/10.0/10.9"</f>
        <v>11.6/10.0/10.9</v>
      </c>
      <c r="E19" s="1" t="str">
        <f>"17.3/14.1/11.3"</f>
        <v>17.3/14.1/11.3</v>
      </c>
      <c r="F19" s="1" t="str">
        <f>"23.8/26.0/26.2"</f>
        <v>23.8/26.0/26.2</v>
      </c>
      <c r="G19" s="1" t="str">
        <f>"64.6/64.1/62.9"</f>
        <v>64.6/64.1/62.9</v>
      </c>
      <c r="H19" s="1" t="str">
        <f>"35.4/36.0/37.1"</f>
        <v>35.4/36.0/37.1</v>
      </c>
      <c r="I19" s="1" t="str">
        <f>"71.1/76.0/77.8"</f>
        <v>71.1/76.0/77.8</v>
      </c>
      <c r="J19" s="1" t="str">
        <f>"-0.464/-0.561/-0.640"</f>
        <v>-0.464/-0.561/-0.640</v>
      </c>
      <c r="K19" s="1" t="str">
        <f>"0.346/0.446/0.413"</f>
        <v>0.346/0.446/0.413</v>
      </c>
    </row>
    <row r="20" spans="1:11" ht="15.75" x14ac:dyDescent="0.25">
      <c r="A20" s="1" t="s">
        <v>36</v>
      </c>
      <c r="B20" s="1" t="str">
        <f>"980/976/990"</f>
        <v>980/976/990</v>
      </c>
      <c r="C20" s="1" t="str">
        <f>"37.1/40.5/41.3"</f>
        <v>37.1/40.5/41.3</v>
      </c>
      <c r="D20" s="1" t="str">
        <f>"13.5/11.2/11.3"</f>
        <v>13.5/11.2/11.3</v>
      </c>
      <c r="E20" s="1" t="str">
        <f>"23.2/20.2/20.5"</f>
        <v>23.2/20.2/20.5</v>
      </c>
      <c r="F20" s="1" t="str">
        <f>"26.2/28.2/26.9"</f>
        <v>26.2/28.2/26.9</v>
      </c>
      <c r="G20" s="1" t="str">
        <f>"60.3/60.7/61.8"</f>
        <v>60.3/60.7/61.8</v>
      </c>
      <c r="H20" s="1" t="str">
        <f>"39.7/39.4/38.2"</f>
        <v>39.7/39.4/38.2</v>
      </c>
      <c r="I20" s="1" t="str">
        <f>"63.3/68.7/68.2"</f>
        <v>63.3/68.7/68.2</v>
      </c>
      <c r="J20" s="1" t="str">
        <f>"-0.232/-0.334/-0.337"</f>
        <v>-0.232/-0.334/-0.337</v>
      </c>
      <c r="K20" s="1" t="str">
        <f>"0.321/0.432/0.407"</f>
        <v>0.321/0.432/0.407</v>
      </c>
    </row>
    <row r="21" spans="1:11" ht="15.75" x14ac:dyDescent="0.25">
      <c r="A21" s="1" t="s">
        <v>37</v>
      </c>
      <c r="B21" s="1" t="str">
        <f>"712/749/734"</f>
        <v>712/749/734</v>
      </c>
      <c r="C21" s="1" t="str">
        <f>"33.7/35.5/38.3"</f>
        <v>33.7/35.5/38.3</v>
      </c>
      <c r="D21" s="1" t="str">
        <f>"14.0/12.4/12.8"</f>
        <v>14.0/12.4/12.8</v>
      </c>
      <c r="E21" s="1" t="str">
        <f>"24.9/24.8/21.4"</f>
        <v>24.9/24.8/21.4</v>
      </c>
      <c r="F21" s="1" t="str">
        <f>"27.4/27.2/27.5"</f>
        <v>27.4/27.2/27.5</v>
      </c>
      <c r="G21" s="1" t="str">
        <f>"58.6/60.3/59.7"</f>
        <v>58.6/60.3/59.7</v>
      </c>
      <c r="H21" s="1" t="str">
        <f>"41.4/39.6/40.3"</f>
        <v>41.4/39.6/40.3</v>
      </c>
      <c r="I21" s="1" t="str">
        <f>"61.1/62.7/65.8"</f>
        <v>61.1/62.7/65.8</v>
      </c>
      <c r="J21" s="1" t="str">
        <f>"-0.151/-0.177/-0.283"</f>
        <v>-0.151/-0.177/-0.283</v>
      </c>
      <c r="K21" s="1" t="str">
        <f>"0.322/0.374/0.365"</f>
        <v>0.322/0.374/0.365</v>
      </c>
    </row>
    <row r="22" spans="1:11" ht="15.75" x14ac:dyDescent="0.25">
      <c r="A22" s="1" t="s">
        <v>38</v>
      </c>
      <c r="B22" s="1" t="str">
        <f>"1320/1273/1434"</f>
        <v>1320/1273/1434</v>
      </c>
      <c r="C22" s="1" t="str">
        <f>"38.4/36.1/37.9"</f>
        <v>38.4/36.1/37.9</v>
      </c>
      <c r="D22" s="1" t="str">
        <f>"12.4/13.0/13.5"</f>
        <v>12.4/13.0/13.5</v>
      </c>
      <c r="E22" s="1" t="str">
        <f>"21.9/21.8/19.5"</f>
        <v>21.9/21.8/19.5</v>
      </c>
      <c r="F22" s="1" t="str">
        <f>"27.3/29.2/29.1"</f>
        <v>27.3/29.2/29.1</v>
      </c>
      <c r="G22" s="1" t="str">
        <f>"60.3/57.9/57.4"</f>
        <v>60.3/57.9/57.4</v>
      </c>
      <c r="H22" s="1" t="str">
        <f>"39.7/42.2/42.6"</f>
        <v>39.7/42.2/42.6</v>
      </c>
      <c r="I22" s="1" t="str">
        <f>"65.7/65.3/67.0"</f>
        <v>65.7/65.3/67.0</v>
      </c>
      <c r="J22" s="1" t="str">
        <f>"-0.274/-0.247/-0.322"</f>
        <v>-0.274/-0.247/-0.322</v>
      </c>
      <c r="K22" s="1" t="str">
        <f>"0.374/0.385/0.365"</f>
        <v>0.374/0.385/0.365</v>
      </c>
    </row>
    <row r="23" spans="1:11" ht="15.75" x14ac:dyDescent="0.25">
      <c r="A23" s="1" t="s">
        <v>39</v>
      </c>
      <c r="B23" s="1" t="str">
        <f>"1692/1725/1724"</f>
        <v>1692/1725/1724</v>
      </c>
      <c r="C23" s="1" t="str">
        <f>"35.7/38.3/40.0"</f>
        <v>35.7/38.3/40.0</v>
      </c>
      <c r="D23" s="1" t="str">
        <f>"13.7/11.7/11.9"</f>
        <v>13.7/11.7/11.9</v>
      </c>
      <c r="E23" s="1" t="str">
        <f>"23.9/22.2/20.9"</f>
        <v>23.9/22.2/20.9</v>
      </c>
      <c r="F23" s="1" t="str">
        <f>"26.7/27.8/27.1"</f>
        <v>26.7/27.8/27.1</v>
      </c>
      <c r="G23" s="1" t="str">
        <f>"59.6/60.5/60.9"</f>
        <v>59.6/60.5/60.9</v>
      </c>
      <c r="H23" s="1" t="str">
        <f>"40.4/39.5/39.0"</f>
        <v>40.4/39.5/39.0</v>
      </c>
      <c r="I23" s="1" t="str">
        <f>"62.4/66.1/67.1"</f>
        <v>62.4/66.1/67.1</v>
      </c>
      <c r="J23" s="1" t="str">
        <f>"-0.198/-0.266/-0.314"</f>
        <v>-0.198/-0.266/-0.314</v>
      </c>
      <c r="K23" s="1" t="str">
        <f>"0.322/0.407/0.389"</f>
        <v>0.322/0.407/0.389</v>
      </c>
    </row>
    <row r="24" spans="1:11" ht="15.75" x14ac:dyDescent="0.25">
      <c r="A24" s="1" t="s">
        <v>40</v>
      </c>
      <c r="B24" s="1" t="str">
        <f>"13353/13275/14567"</f>
        <v>13353/13275/14567</v>
      </c>
      <c r="C24" s="1" t="str">
        <f>"45.4/45.5/45.7"</f>
        <v>45.4/45.5/45.7</v>
      </c>
      <c r="D24" s="1" t="str">
        <f>"10.6/10.4/11.3"</f>
        <v>10.6/10.4/11.3</v>
      </c>
      <c r="E24" s="1" t="str">
        <f>"17.7/17.0/16.4"</f>
        <v>17.7/17.0/16.4</v>
      </c>
      <c r="F24" s="1" t="str">
        <f>"26.3/27.1/26.5"</f>
        <v>26.3/27.1/26.5</v>
      </c>
      <c r="G24" s="1" t="str">
        <f>"63.1/62.5/62.1"</f>
        <v>63.1/62.5/62.1</v>
      </c>
      <c r="H24" s="1" t="str">
        <f>"36.9/37.5/37.8"</f>
        <v>36.9/37.5/37.8</v>
      </c>
      <c r="I24" s="1" t="str">
        <f>"71.7/72.6/72.2"</f>
        <v>71.7/72.6/72.2</v>
      </c>
      <c r="J24" s="1" t="str">
        <f>"-0.438/-0.457/-0.471"</f>
        <v>-0.438/-0.457/-0.471</v>
      </c>
      <c r="K24" s="1" t="str">
        <f>"0.423/0.444/0.401"</f>
        <v>0.423/0.444/0.401</v>
      </c>
    </row>
  </sheetData>
  <phoneticPr fontId="6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2019-02-14T03:28:28Z</dcterms:created>
  <dcterms:modified xsi:type="dcterms:W3CDTF">2020-01-27T14:22:14Z</dcterms:modified>
</cp:coreProperties>
</file>