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Anjali\NMSU Dropbox\Anjali Karki\Anjali_ Small Mosquitoes_ Project_24\"/>
    </mc:Choice>
  </mc:AlternateContent>
  <xr:revisionPtr revIDLastSave="0" documentId="13_ncr:1_{C06FEE33-9F89-465D-835D-F3C4DE6A9C8E}" xr6:coauthVersionLast="47" xr6:coauthVersionMax="47" xr10:uidLastSave="{00000000-0000-0000-0000-000000000000}"/>
  <bookViews>
    <workbookView xWindow="-120" yWindow="-120" windowWidth="51840" windowHeight="21120" activeTab="2" xr2:uid="{00000000-000D-0000-FFFF-FFFF00000000}"/>
  </bookViews>
  <sheets>
    <sheet name="Fig1_ Wing length &amp; Body weight" sheetId="1" r:id="rId1"/>
    <sheet name="Fig2_Locomotor Activity(Female)" sheetId="5" r:id="rId2"/>
    <sheet name="Fig2_Locomotor Activity(Male)" sheetId="2" r:id="rId3"/>
    <sheet name="Fig3_Feeding Assay" sheetId="3" r:id="rId4"/>
    <sheet name="Fig4_Insecticide Resistant" sheetId="4" r:id="rId5"/>
  </sheets>
  <externalReferences>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1" i="4" l="1"/>
  <c r="Y60" i="2"/>
  <c r="Z60" i="2" s="1"/>
  <c r="S60" i="2"/>
  <c r="T60" i="2" s="1"/>
  <c r="M60" i="2"/>
  <c r="N60" i="2" s="1"/>
  <c r="G60" i="2"/>
  <c r="H60" i="2" s="1"/>
  <c r="Y59" i="2"/>
  <c r="Z59" i="2" s="1"/>
  <c r="S59" i="2"/>
  <c r="T59" i="2" s="1"/>
  <c r="M59" i="2"/>
  <c r="N59" i="2" s="1"/>
  <c r="G59" i="2"/>
  <c r="H59" i="2" s="1"/>
  <c r="Y58" i="2"/>
  <c r="Z58" i="2" s="1"/>
  <c r="S58" i="2"/>
  <c r="T58" i="2" s="1"/>
  <c r="M58" i="2"/>
  <c r="N58" i="2" s="1"/>
  <c r="G58" i="2"/>
  <c r="H58" i="2" s="1"/>
  <c r="Y57" i="2"/>
  <c r="Z57" i="2" s="1"/>
  <c r="S57" i="2"/>
  <c r="T57" i="2" s="1"/>
  <c r="M57" i="2"/>
  <c r="N57" i="2" s="1"/>
  <c r="G57" i="2"/>
  <c r="H57" i="2" s="1"/>
  <c r="Y56" i="2"/>
  <c r="Z56" i="2" s="1"/>
  <c r="S56" i="2"/>
  <c r="T56" i="2" s="1"/>
  <c r="M56" i="2"/>
  <c r="N56" i="2" s="1"/>
  <c r="G56" i="2"/>
  <c r="H56" i="2" s="1"/>
  <c r="Y55" i="2"/>
  <c r="Z55" i="2" s="1"/>
  <c r="S55" i="2"/>
  <c r="T55" i="2" s="1"/>
  <c r="M55" i="2"/>
  <c r="N55" i="2" s="1"/>
  <c r="G55" i="2"/>
  <c r="H55" i="2" s="1"/>
  <c r="Y54" i="2"/>
  <c r="Z54" i="2" s="1"/>
  <c r="S54" i="2"/>
  <c r="T54" i="2" s="1"/>
  <c r="M54" i="2"/>
  <c r="N54" i="2" s="1"/>
  <c r="G54" i="2"/>
  <c r="H54" i="2" s="1"/>
  <c r="Y53" i="2"/>
  <c r="Z53" i="2" s="1"/>
  <c r="S53" i="2"/>
  <c r="T53" i="2" s="1"/>
  <c r="M53" i="2"/>
  <c r="N53" i="2" s="1"/>
  <c r="G53" i="2"/>
  <c r="H53" i="2" s="1"/>
  <c r="Y52" i="2"/>
  <c r="Z52" i="2" s="1"/>
  <c r="S52" i="2"/>
  <c r="T52" i="2" s="1"/>
  <c r="M52" i="2"/>
  <c r="N52" i="2" s="1"/>
  <c r="G52" i="2"/>
  <c r="H52" i="2" s="1"/>
  <c r="Y51" i="2"/>
  <c r="Z51" i="2" s="1"/>
  <c r="S51" i="2"/>
  <c r="T51" i="2" s="1"/>
  <c r="M51" i="2"/>
  <c r="N51" i="2" s="1"/>
  <c r="G51" i="2"/>
  <c r="H51" i="2" s="1"/>
  <c r="Y50" i="2"/>
  <c r="Z50" i="2" s="1"/>
  <c r="S50" i="2"/>
  <c r="T50" i="2" s="1"/>
  <c r="M50" i="2"/>
  <c r="N50" i="2" s="1"/>
  <c r="G50" i="2"/>
  <c r="H50" i="2" s="1"/>
  <c r="Y49" i="2"/>
  <c r="Z49" i="2" s="1"/>
  <c r="S49" i="2"/>
  <c r="T49" i="2" s="1"/>
  <c r="M49" i="2"/>
  <c r="N49" i="2" s="1"/>
  <c r="G49" i="2"/>
  <c r="H49" i="2" s="1"/>
  <c r="Y48" i="2"/>
  <c r="Z48" i="2" s="1"/>
  <c r="S48" i="2"/>
  <c r="T48" i="2" s="1"/>
  <c r="M48" i="2"/>
  <c r="N48" i="2" s="1"/>
  <c r="G48" i="2"/>
  <c r="H48" i="2" s="1"/>
  <c r="Y47" i="2"/>
  <c r="Z47" i="2" s="1"/>
  <c r="S47" i="2"/>
  <c r="T47" i="2" s="1"/>
  <c r="M47" i="2"/>
  <c r="N47" i="2" s="1"/>
  <c r="G47" i="2"/>
  <c r="H47" i="2" s="1"/>
  <c r="Y46" i="2"/>
  <c r="Z46" i="2" s="1"/>
  <c r="S46" i="2"/>
  <c r="T46" i="2" s="1"/>
  <c r="M46" i="2"/>
  <c r="N46" i="2" s="1"/>
  <c r="G46" i="2"/>
  <c r="H46" i="2" s="1"/>
  <c r="Y45" i="2"/>
  <c r="Z45" i="2" s="1"/>
  <c r="S45" i="2"/>
  <c r="T45" i="2" s="1"/>
  <c r="M45" i="2"/>
  <c r="N45" i="2" s="1"/>
  <c r="G45" i="2"/>
  <c r="H45" i="2" s="1"/>
  <c r="Y44" i="2"/>
  <c r="Z44" i="2" s="1"/>
  <c r="S44" i="2"/>
  <c r="T44" i="2" s="1"/>
  <c r="M44" i="2"/>
  <c r="N44" i="2" s="1"/>
  <c r="G44" i="2"/>
  <c r="H44" i="2" s="1"/>
  <c r="Y43" i="2"/>
  <c r="Z43" i="2" s="1"/>
  <c r="S43" i="2"/>
  <c r="T43" i="2" s="1"/>
  <c r="M43" i="2"/>
  <c r="N43" i="2" s="1"/>
  <c r="G43" i="2"/>
  <c r="H43" i="2" s="1"/>
  <c r="Y42" i="2"/>
  <c r="Z42" i="2" s="1"/>
  <c r="S42" i="2"/>
  <c r="T42" i="2" s="1"/>
  <c r="M42" i="2"/>
  <c r="N42" i="2" s="1"/>
  <c r="G42" i="2"/>
  <c r="H42" i="2" s="1"/>
  <c r="Y41" i="2"/>
  <c r="Z41" i="2" s="1"/>
  <c r="S41" i="2"/>
  <c r="T41" i="2" s="1"/>
  <c r="M41" i="2"/>
  <c r="N41" i="2" s="1"/>
  <c r="G41" i="2"/>
  <c r="H41" i="2" s="1"/>
  <c r="Y40" i="2"/>
  <c r="Z40" i="2" s="1"/>
  <c r="S40" i="2"/>
  <c r="T40" i="2" s="1"/>
  <c r="M40" i="2"/>
  <c r="N40" i="2" s="1"/>
  <c r="G40" i="2"/>
  <c r="H40" i="2" s="1"/>
  <c r="Y39" i="2"/>
  <c r="Z39" i="2" s="1"/>
  <c r="S39" i="2"/>
  <c r="T39" i="2" s="1"/>
  <c r="M39" i="2"/>
  <c r="N39" i="2" s="1"/>
  <c r="G39" i="2"/>
  <c r="H39" i="2" s="1"/>
  <c r="Y38" i="2"/>
  <c r="Z38" i="2" s="1"/>
  <c r="S38" i="2"/>
  <c r="T38" i="2" s="1"/>
  <c r="M38" i="2"/>
  <c r="N38" i="2" s="1"/>
  <c r="G38" i="2"/>
  <c r="H38" i="2" s="1"/>
  <c r="Y37" i="2"/>
  <c r="Z37" i="2" s="1"/>
  <c r="S37" i="2"/>
  <c r="T37" i="2" s="1"/>
  <c r="M37" i="2"/>
  <c r="N37" i="2" s="1"/>
  <c r="G37" i="2"/>
  <c r="H37" i="2" s="1"/>
  <c r="Y36" i="2"/>
  <c r="Z36" i="2" s="1"/>
  <c r="S36" i="2"/>
  <c r="T36" i="2" s="1"/>
  <c r="M36" i="2"/>
  <c r="N36" i="2" s="1"/>
  <c r="G36" i="2"/>
  <c r="H36" i="2" s="1"/>
  <c r="Y31" i="2"/>
  <c r="Z31" i="2" s="1"/>
  <c r="S31" i="2"/>
  <c r="T31" i="2" s="1"/>
  <c r="M31" i="2"/>
  <c r="N31" i="2" s="1"/>
  <c r="G31" i="2"/>
  <c r="H31" i="2" s="1"/>
  <c r="Y30" i="2"/>
  <c r="Z30" i="2" s="1"/>
  <c r="S30" i="2"/>
  <c r="T30" i="2" s="1"/>
  <c r="M30" i="2"/>
  <c r="N30" i="2" s="1"/>
  <c r="G30" i="2"/>
  <c r="H30" i="2" s="1"/>
  <c r="Y29" i="2"/>
  <c r="Z29" i="2" s="1"/>
  <c r="S29" i="2"/>
  <c r="T29" i="2" s="1"/>
  <c r="M29" i="2"/>
  <c r="N29" i="2" s="1"/>
  <c r="G29" i="2"/>
  <c r="H29" i="2" s="1"/>
  <c r="Y28" i="2"/>
  <c r="Z28" i="2" s="1"/>
  <c r="S28" i="2"/>
  <c r="T28" i="2" s="1"/>
  <c r="M28" i="2"/>
  <c r="N28" i="2" s="1"/>
  <c r="G28" i="2"/>
  <c r="H28" i="2" s="1"/>
  <c r="Y27" i="2"/>
  <c r="Z27" i="2" s="1"/>
  <c r="S27" i="2"/>
  <c r="T27" i="2" s="1"/>
  <c r="M27" i="2"/>
  <c r="N27" i="2" s="1"/>
  <c r="G27" i="2"/>
  <c r="H27" i="2" s="1"/>
  <c r="Y26" i="2"/>
  <c r="Z26" i="2" s="1"/>
  <c r="S26" i="2"/>
  <c r="T26" i="2" s="1"/>
  <c r="M26" i="2"/>
  <c r="N26" i="2" s="1"/>
  <c r="G26" i="2"/>
  <c r="H26" i="2" s="1"/>
  <c r="Y25" i="2"/>
  <c r="Z25" i="2" s="1"/>
  <c r="S25" i="2"/>
  <c r="T25" i="2" s="1"/>
  <c r="M25" i="2"/>
  <c r="N25" i="2" s="1"/>
  <c r="G25" i="2"/>
  <c r="H25" i="2" s="1"/>
  <c r="Y24" i="2"/>
  <c r="Z24" i="2" s="1"/>
  <c r="S24" i="2"/>
  <c r="T24" i="2" s="1"/>
  <c r="M24" i="2"/>
  <c r="N24" i="2" s="1"/>
  <c r="G24" i="2"/>
  <c r="H24" i="2" s="1"/>
  <c r="Y23" i="2"/>
  <c r="Z23" i="2" s="1"/>
  <c r="S23" i="2"/>
  <c r="T23" i="2" s="1"/>
  <c r="M23" i="2"/>
  <c r="N23" i="2" s="1"/>
  <c r="G23" i="2"/>
  <c r="H23" i="2" s="1"/>
  <c r="Y22" i="2"/>
  <c r="Z22" i="2" s="1"/>
  <c r="S22" i="2"/>
  <c r="T22" i="2" s="1"/>
  <c r="M22" i="2"/>
  <c r="N22" i="2" s="1"/>
  <c r="G22" i="2"/>
  <c r="H22" i="2" s="1"/>
  <c r="Y21" i="2"/>
  <c r="Z21" i="2" s="1"/>
  <c r="S21" i="2"/>
  <c r="T21" i="2" s="1"/>
  <c r="M21" i="2"/>
  <c r="N21" i="2" s="1"/>
  <c r="G21" i="2"/>
  <c r="H21" i="2" s="1"/>
  <c r="Y20" i="2"/>
  <c r="Z20" i="2" s="1"/>
  <c r="S20" i="2"/>
  <c r="T20" i="2" s="1"/>
  <c r="M20" i="2"/>
  <c r="N20" i="2" s="1"/>
  <c r="G20" i="2"/>
  <c r="H20" i="2" s="1"/>
  <c r="Y19" i="2"/>
  <c r="Z19" i="2" s="1"/>
  <c r="S19" i="2"/>
  <c r="T19" i="2" s="1"/>
  <c r="M19" i="2"/>
  <c r="N19" i="2" s="1"/>
  <c r="G19" i="2"/>
  <c r="H19" i="2" s="1"/>
  <c r="Y18" i="2"/>
  <c r="Z18" i="2" s="1"/>
  <c r="S18" i="2"/>
  <c r="T18" i="2" s="1"/>
  <c r="M18" i="2"/>
  <c r="N18" i="2" s="1"/>
  <c r="G18" i="2"/>
  <c r="H18" i="2" s="1"/>
  <c r="Y17" i="2"/>
  <c r="Z17" i="2" s="1"/>
  <c r="S17" i="2"/>
  <c r="T17" i="2" s="1"/>
  <c r="M17" i="2"/>
  <c r="N17" i="2" s="1"/>
  <c r="G17" i="2"/>
  <c r="H17" i="2" s="1"/>
  <c r="Y16" i="2"/>
  <c r="Z16" i="2" s="1"/>
  <c r="S16" i="2"/>
  <c r="T16" i="2" s="1"/>
  <c r="M16" i="2"/>
  <c r="N16" i="2" s="1"/>
  <c r="G16" i="2"/>
  <c r="H16" i="2" s="1"/>
  <c r="Y15" i="2"/>
  <c r="Z15" i="2" s="1"/>
  <c r="S15" i="2"/>
  <c r="T15" i="2" s="1"/>
  <c r="M15" i="2"/>
  <c r="N15" i="2" s="1"/>
  <c r="G15" i="2"/>
  <c r="H15" i="2" s="1"/>
  <c r="Y14" i="2"/>
  <c r="Z14" i="2" s="1"/>
  <c r="S14" i="2"/>
  <c r="T14" i="2" s="1"/>
  <c r="M14" i="2"/>
  <c r="N14" i="2" s="1"/>
  <c r="G14" i="2"/>
  <c r="H14" i="2" s="1"/>
  <c r="Y13" i="2"/>
  <c r="Z13" i="2" s="1"/>
  <c r="S13" i="2"/>
  <c r="T13" i="2" s="1"/>
  <c r="M13" i="2"/>
  <c r="N13" i="2" s="1"/>
  <c r="G13" i="2"/>
  <c r="H13" i="2" s="1"/>
  <c r="Y12" i="2"/>
  <c r="Z12" i="2" s="1"/>
  <c r="S12" i="2"/>
  <c r="T12" i="2" s="1"/>
  <c r="M12" i="2"/>
  <c r="N12" i="2" s="1"/>
  <c r="G12" i="2"/>
  <c r="H12" i="2" s="1"/>
  <c r="Y11" i="2"/>
  <c r="Z11" i="2" s="1"/>
  <c r="S11" i="2"/>
  <c r="T11" i="2" s="1"/>
  <c r="M11" i="2"/>
  <c r="N11" i="2" s="1"/>
  <c r="G11" i="2"/>
  <c r="H11" i="2" s="1"/>
  <c r="Y10" i="2"/>
  <c r="Z10" i="2" s="1"/>
  <c r="S10" i="2"/>
  <c r="T10" i="2" s="1"/>
  <c r="M10" i="2"/>
  <c r="N10" i="2" s="1"/>
  <c r="G10" i="2"/>
  <c r="H10" i="2" s="1"/>
  <c r="Y9" i="2"/>
  <c r="Z9" i="2" s="1"/>
  <c r="S9" i="2"/>
  <c r="T9" i="2" s="1"/>
  <c r="M9" i="2"/>
  <c r="N9" i="2" s="1"/>
  <c r="G9" i="2"/>
  <c r="H9" i="2" s="1"/>
  <c r="Y8" i="2"/>
  <c r="Z8" i="2" s="1"/>
  <c r="S8" i="2"/>
  <c r="T8" i="2" s="1"/>
  <c r="M8" i="2"/>
  <c r="N8" i="2" s="1"/>
  <c r="G8" i="2"/>
  <c r="H8" i="2" s="1"/>
  <c r="Y7" i="2"/>
  <c r="Z7" i="2" s="1"/>
  <c r="S7" i="2"/>
  <c r="T7" i="2" s="1"/>
  <c r="M7" i="2"/>
  <c r="N7" i="2" s="1"/>
  <c r="G7" i="2"/>
  <c r="H7" i="2" s="1"/>
  <c r="Y59" i="5"/>
  <c r="Z59" i="5" s="1"/>
  <c r="S59" i="5"/>
  <c r="T59" i="5" s="1"/>
  <c r="M59" i="5"/>
  <c r="N59" i="5" s="1"/>
  <c r="G59" i="5"/>
  <c r="H59" i="5" s="1"/>
  <c r="Y58" i="5"/>
  <c r="Z58" i="5" s="1"/>
  <c r="S58" i="5"/>
  <c r="T58" i="5" s="1"/>
  <c r="M58" i="5"/>
  <c r="N58" i="5" s="1"/>
  <c r="G58" i="5"/>
  <c r="H58" i="5" s="1"/>
  <c r="Y57" i="5"/>
  <c r="Z57" i="5" s="1"/>
  <c r="S57" i="5"/>
  <c r="T57" i="5" s="1"/>
  <c r="M57" i="5"/>
  <c r="N57" i="5" s="1"/>
  <c r="G57" i="5"/>
  <c r="H57" i="5" s="1"/>
  <c r="Y56" i="5"/>
  <c r="Z56" i="5" s="1"/>
  <c r="S56" i="5"/>
  <c r="T56" i="5" s="1"/>
  <c r="M56" i="5"/>
  <c r="N56" i="5" s="1"/>
  <c r="G56" i="5"/>
  <c r="H56" i="5" s="1"/>
  <c r="Y55" i="5"/>
  <c r="Z55" i="5" s="1"/>
  <c r="S55" i="5"/>
  <c r="T55" i="5" s="1"/>
  <c r="M55" i="5"/>
  <c r="N55" i="5" s="1"/>
  <c r="G55" i="5"/>
  <c r="H55" i="5" s="1"/>
  <c r="Y54" i="5"/>
  <c r="Z54" i="5" s="1"/>
  <c r="S54" i="5"/>
  <c r="T54" i="5" s="1"/>
  <c r="M54" i="5"/>
  <c r="N54" i="5" s="1"/>
  <c r="G54" i="5"/>
  <c r="H54" i="5" s="1"/>
  <c r="Y53" i="5"/>
  <c r="Z53" i="5" s="1"/>
  <c r="S53" i="5"/>
  <c r="T53" i="5" s="1"/>
  <c r="M53" i="5"/>
  <c r="N53" i="5" s="1"/>
  <c r="G53" i="5"/>
  <c r="H53" i="5" s="1"/>
  <c r="Y52" i="5"/>
  <c r="Z52" i="5" s="1"/>
  <c r="S52" i="5"/>
  <c r="T52" i="5" s="1"/>
  <c r="M52" i="5"/>
  <c r="N52" i="5" s="1"/>
  <c r="G52" i="5"/>
  <c r="H52" i="5" s="1"/>
  <c r="Y51" i="5"/>
  <c r="Z51" i="5" s="1"/>
  <c r="S51" i="5"/>
  <c r="T51" i="5" s="1"/>
  <c r="M51" i="5"/>
  <c r="N51" i="5" s="1"/>
  <c r="G51" i="5"/>
  <c r="H51" i="5" s="1"/>
  <c r="Y50" i="5"/>
  <c r="Z50" i="5" s="1"/>
  <c r="S50" i="5"/>
  <c r="T50" i="5" s="1"/>
  <c r="M50" i="5"/>
  <c r="N50" i="5" s="1"/>
  <c r="G50" i="5"/>
  <c r="H50" i="5" s="1"/>
  <c r="Y49" i="5"/>
  <c r="Z49" i="5" s="1"/>
  <c r="S49" i="5"/>
  <c r="T49" i="5" s="1"/>
  <c r="M49" i="5"/>
  <c r="N49" i="5" s="1"/>
  <c r="G49" i="5"/>
  <c r="H49" i="5" s="1"/>
  <c r="Y48" i="5"/>
  <c r="Z48" i="5" s="1"/>
  <c r="S48" i="5"/>
  <c r="T48" i="5" s="1"/>
  <c r="M48" i="5"/>
  <c r="N48" i="5" s="1"/>
  <c r="G48" i="5"/>
  <c r="H48" i="5" s="1"/>
  <c r="Y47" i="5"/>
  <c r="Z47" i="5" s="1"/>
  <c r="S47" i="5"/>
  <c r="T47" i="5" s="1"/>
  <c r="M47" i="5"/>
  <c r="N47" i="5" s="1"/>
  <c r="G47" i="5"/>
  <c r="H47" i="5" s="1"/>
  <c r="Y46" i="5"/>
  <c r="Z46" i="5" s="1"/>
  <c r="S46" i="5"/>
  <c r="T46" i="5" s="1"/>
  <c r="M46" i="5"/>
  <c r="N46" i="5" s="1"/>
  <c r="G46" i="5"/>
  <c r="H46" i="5" s="1"/>
  <c r="Y45" i="5"/>
  <c r="Z45" i="5" s="1"/>
  <c r="S45" i="5"/>
  <c r="T45" i="5" s="1"/>
  <c r="M45" i="5"/>
  <c r="N45" i="5" s="1"/>
  <c r="G45" i="5"/>
  <c r="H45" i="5" s="1"/>
  <c r="Y44" i="5"/>
  <c r="Z44" i="5" s="1"/>
  <c r="S44" i="5"/>
  <c r="T44" i="5" s="1"/>
  <c r="M44" i="5"/>
  <c r="N44" i="5" s="1"/>
  <c r="G44" i="5"/>
  <c r="H44" i="5" s="1"/>
  <c r="Y43" i="5"/>
  <c r="Z43" i="5" s="1"/>
  <c r="S43" i="5"/>
  <c r="T43" i="5" s="1"/>
  <c r="M43" i="5"/>
  <c r="N43" i="5" s="1"/>
  <c r="G43" i="5"/>
  <c r="H43" i="5" s="1"/>
  <c r="Y42" i="5"/>
  <c r="Z42" i="5" s="1"/>
  <c r="S42" i="5"/>
  <c r="T42" i="5" s="1"/>
  <c r="M42" i="5"/>
  <c r="N42" i="5" s="1"/>
  <c r="G42" i="5"/>
  <c r="H42" i="5" s="1"/>
  <c r="Y41" i="5"/>
  <c r="Z41" i="5" s="1"/>
  <c r="S41" i="5"/>
  <c r="T41" i="5" s="1"/>
  <c r="M41" i="5"/>
  <c r="N41" i="5" s="1"/>
  <c r="G41" i="5"/>
  <c r="H41" i="5" s="1"/>
  <c r="Y40" i="5"/>
  <c r="Z40" i="5" s="1"/>
  <c r="S40" i="5"/>
  <c r="T40" i="5" s="1"/>
  <c r="M40" i="5"/>
  <c r="N40" i="5" s="1"/>
  <c r="G40" i="5"/>
  <c r="H40" i="5" s="1"/>
  <c r="Y39" i="5"/>
  <c r="Z39" i="5" s="1"/>
  <c r="S39" i="5"/>
  <c r="T39" i="5" s="1"/>
  <c r="M39" i="5"/>
  <c r="N39" i="5" s="1"/>
  <c r="G39" i="5"/>
  <c r="H39" i="5" s="1"/>
  <c r="Y38" i="5"/>
  <c r="Z38" i="5" s="1"/>
  <c r="S38" i="5"/>
  <c r="T38" i="5" s="1"/>
  <c r="M38" i="5"/>
  <c r="N38" i="5" s="1"/>
  <c r="G38" i="5"/>
  <c r="H38" i="5" s="1"/>
  <c r="Y37" i="5"/>
  <c r="Z37" i="5" s="1"/>
  <c r="S37" i="5"/>
  <c r="T37" i="5" s="1"/>
  <c r="M37" i="5"/>
  <c r="N37" i="5" s="1"/>
  <c r="G37" i="5"/>
  <c r="H37" i="5" s="1"/>
  <c r="Y36" i="5"/>
  <c r="Z36" i="5" s="1"/>
  <c r="S36" i="5"/>
  <c r="T36" i="5" s="1"/>
  <c r="M36" i="5"/>
  <c r="N36" i="5" s="1"/>
  <c r="G36" i="5"/>
  <c r="H36" i="5" s="1"/>
  <c r="Y35" i="5"/>
  <c r="Z35" i="5" s="1"/>
  <c r="S35" i="5"/>
  <c r="T35" i="5" s="1"/>
  <c r="M35" i="5"/>
  <c r="N35" i="5" s="1"/>
  <c r="G35" i="5"/>
  <c r="H35" i="5" s="1"/>
  <c r="Y30" i="5"/>
  <c r="Z30" i="5" s="1"/>
  <c r="S30" i="5"/>
  <c r="T30" i="5" s="1"/>
  <c r="M30" i="5"/>
  <c r="N30" i="5" s="1"/>
  <c r="G30" i="5"/>
  <c r="H30" i="5" s="1"/>
  <c r="Y29" i="5"/>
  <c r="Z29" i="5" s="1"/>
  <c r="S29" i="5"/>
  <c r="T29" i="5" s="1"/>
  <c r="M29" i="5"/>
  <c r="N29" i="5" s="1"/>
  <c r="G29" i="5"/>
  <c r="H29" i="5" s="1"/>
  <c r="Y28" i="5"/>
  <c r="Z28" i="5" s="1"/>
  <c r="S28" i="5"/>
  <c r="T28" i="5" s="1"/>
  <c r="M28" i="5"/>
  <c r="N28" i="5" s="1"/>
  <c r="G28" i="5"/>
  <c r="H28" i="5" s="1"/>
  <c r="Y27" i="5"/>
  <c r="Z27" i="5" s="1"/>
  <c r="S27" i="5"/>
  <c r="T27" i="5" s="1"/>
  <c r="M27" i="5"/>
  <c r="N27" i="5" s="1"/>
  <c r="G27" i="5"/>
  <c r="H27" i="5" s="1"/>
  <c r="Y26" i="5"/>
  <c r="Z26" i="5" s="1"/>
  <c r="S26" i="5"/>
  <c r="T26" i="5" s="1"/>
  <c r="M26" i="5"/>
  <c r="N26" i="5" s="1"/>
  <c r="G26" i="5"/>
  <c r="H26" i="5" s="1"/>
  <c r="Y25" i="5"/>
  <c r="Z25" i="5" s="1"/>
  <c r="S25" i="5"/>
  <c r="T25" i="5" s="1"/>
  <c r="M25" i="5"/>
  <c r="N25" i="5" s="1"/>
  <c r="G25" i="5"/>
  <c r="H25" i="5" s="1"/>
  <c r="Y24" i="5"/>
  <c r="Z24" i="5" s="1"/>
  <c r="S24" i="5"/>
  <c r="T24" i="5" s="1"/>
  <c r="M24" i="5"/>
  <c r="N24" i="5" s="1"/>
  <c r="G24" i="5"/>
  <c r="H24" i="5" s="1"/>
  <c r="Y23" i="5"/>
  <c r="Z23" i="5" s="1"/>
  <c r="S23" i="5"/>
  <c r="T23" i="5" s="1"/>
  <c r="M23" i="5"/>
  <c r="N23" i="5" s="1"/>
  <c r="G23" i="5"/>
  <c r="H23" i="5" s="1"/>
  <c r="Y22" i="5"/>
  <c r="Z22" i="5" s="1"/>
  <c r="S22" i="5"/>
  <c r="T22" i="5" s="1"/>
  <c r="M22" i="5"/>
  <c r="N22" i="5" s="1"/>
  <c r="G22" i="5"/>
  <c r="H22" i="5" s="1"/>
  <c r="Y21" i="5"/>
  <c r="Z21" i="5" s="1"/>
  <c r="S21" i="5"/>
  <c r="T21" i="5" s="1"/>
  <c r="M21" i="5"/>
  <c r="N21" i="5" s="1"/>
  <c r="G21" i="5"/>
  <c r="H21" i="5" s="1"/>
  <c r="Y20" i="5"/>
  <c r="Z20" i="5" s="1"/>
  <c r="S20" i="5"/>
  <c r="T20" i="5" s="1"/>
  <c r="M20" i="5"/>
  <c r="N20" i="5" s="1"/>
  <c r="G20" i="5"/>
  <c r="H20" i="5" s="1"/>
  <c r="Y19" i="5"/>
  <c r="Z19" i="5" s="1"/>
  <c r="S19" i="5"/>
  <c r="T19" i="5" s="1"/>
  <c r="M19" i="5"/>
  <c r="N19" i="5" s="1"/>
  <c r="G19" i="5"/>
  <c r="H19" i="5" s="1"/>
  <c r="Y18" i="5"/>
  <c r="Z18" i="5" s="1"/>
  <c r="S18" i="5"/>
  <c r="T18" i="5" s="1"/>
  <c r="M18" i="5"/>
  <c r="N18" i="5" s="1"/>
  <c r="G18" i="5"/>
  <c r="H18" i="5" s="1"/>
  <c r="Y17" i="5"/>
  <c r="Z17" i="5" s="1"/>
  <c r="S17" i="5"/>
  <c r="T17" i="5" s="1"/>
  <c r="M17" i="5"/>
  <c r="N17" i="5" s="1"/>
  <c r="G17" i="5"/>
  <c r="H17" i="5" s="1"/>
  <c r="Y16" i="5"/>
  <c r="Z16" i="5" s="1"/>
  <c r="S16" i="5"/>
  <c r="T16" i="5" s="1"/>
  <c r="M16" i="5"/>
  <c r="N16" i="5" s="1"/>
  <c r="G16" i="5"/>
  <c r="H16" i="5" s="1"/>
  <c r="Y15" i="5"/>
  <c r="Z15" i="5" s="1"/>
  <c r="S15" i="5"/>
  <c r="T15" i="5" s="1"/>
  <c r="M15" i="5"/>
  <c r="N15" i="5" s="1"/>
  <c r="G15" i="5"/>
  <c r="H15" i="5" s="1"/>
  <c r="Y14" i="5"/>
  <c r="Z14" i="5" s="1"/>
  <c r="S14" i="5"/>
  <c r="T14" i="5" s="1"/>
  <c r="M14" i="5"/>
  <c r="N14" i="5" s="1"/>
  <c r="G14" i="5"/>
  <c r="H14" i="5" s="1"/>
  <c r="Y13" i="5"/>
  <c r="Z13" i="5" s="1"/>
  <c r="S13" i="5"/>
  <c r="T13" i="5" s="1"/>
  <c r="M13" i="5"/>
  <c r="N13" i="5" s="1"/>
  <c r="G13" i="5"/>
  <c r="H13" i="5" s="1"/>
  <c r="Y12" i="5"/>
  <c r="Z12" i="5" s="1"/>
  <c r="S12" i="5"/>
  <c r="T12" i="5" s="1"/>
  <c r="M12" i="5"/>
  <c r="N12" i="5" s="1"/>
  <c r="G12" i="5"/>
  <c r="H12" i="5" s="1"/>
  <c r="Y11" i="5"/>
  <c r="Z11" i="5" s="1"/>
  <c r="S11" i="5"/>
  <c r="T11" i="5" s="1"/>
  <c r="M11" i="5"/>
  <c r="N11" i="5" s="1"/>
  <c r="G11" i="5"/>
  <c r="H11" i="5" s="1"/>
  <c r="Y10" i="5"/>
  <c r="Z10" i="5" s="1"/>
  <c r="S10" i="5"/>
  <c r="T10" i="5" s="1"/>
  <c r="M10" i="5"/>
  <c r="N10" i="5" s="1"/>
  <c r="G10" i="5"/>
  <c r="H10" i="5" s="1"/>
  <c r="Y9" i="5"/>
  <c r="Z9" i="5" s="1"/>
  <c r="S9" i="5"/>
  <c r="T9" i="5" s="1"/>
  <c r="M9" i="5"/>
  <c r="N9" i="5" s="1"/>
  <c r="G9" i="5"/>
  <c r="H9" i="5" s="1"/>
  <c r="Y8" i="5"/>
  <c r="Z8" i="5" s="1"/>
  <c r="S8" i="5"/>
  <c r="T8" i="5" s="1"/>
  <c r="M8" i="5"/>
  <c r="N8" i="5" s="1"/>
  <c r="G8" i="5"/>
  <c r="H8" i="5" s="1"/>
  <c r="Y7" i="5"/>
  <c r="Z7" i="5" s="1"/>
  <c r="S7" i="5"/>
  <c r="T7" i="5" s="1"/>
  <c r="M7" i="5"/>
  <c r="N7" i="5" s="1"/>
  <c r="G7" i="5"/>
  <c r="H7" i="5" s="1"/>
  <c r="Y6" i="5"/>
  <c r="Z6" i="5" s="1"/>
  <c r="S6" i="5"/>
  <c r="T6" i="5" s="1"/>
  <c r="AG8" i="5" s="1"/>
  <c r="AH8" i="5" s="1"/>
  <c r="M6" i="5"/>
  <c r="N6" i="5" s="1"/>
  <c r="G6" i="5"/>
  <c r="H6" i="5" s="1"/>
  <c r="AG7" i="5" l="1"/>
  <c r="AH7" i="5" s="1"/>
  <c r="AG6" i="5"/>
  <c r="AH6" i="5" s="1"/>
  <c r="AC25" i="2"/>
  <c r="AD25" i="2" s="1"/>
  <c r="AC7" i="2"/>
  <c r="AD7" i="2" s="1"/>
  <c r="AC19" i="2"/>
  <c r="AD19" i="2" s="1"/>
  <c r="AC27" i="2"/>
  <c r="AD27" i="2" s="1"/>
  <c r="AC14" i="2"/>
  <c r="AD14" i="2" s="1"/>
  <c r="AC24" i="2"/>
  <c r="AD24" i="2" s="1"/>
  <c r="AC9" i="2"/>
  <c r="AD9" i="2" s="1"/>
  <c r="AC21" i="2"/>
  <c r="AD21" i="2" s="1"/>
  <c r="AC8" i="2"/>
  <c r="AD8" i="2" s="1"/>
  <c r="AC29" i="2"/>
  <c r="AD29" i="2" s="1"/>
  <c r="AC22" i="2"/>
  <c r="AD22" i="2" s="1"/>
  <c r="AC16" i="2"/>
  <c r="AD16" i="2" s="1"/>
  <c r="AC10" i="2"/>
  <c r="AD10" i="2" s="1"/>
  <c r="AC20" i="2"/>
  <c r="AD20" i="2" s="1"/>
  <c r="H32" i="2"/>
  <c r="AC18" i="2"/>
  <c r="AD18" i="2" s="1"/>
  <c r="AC30" i="2"/>
  <c r="AD30" i="2" s="1"/>
  <c r="AC12" i="2"/>
  <c r="AD12" i="2" s="1"/>
  <c r="AC26" i="2"/>
  <c r="AD26" i="2" s="1"/>
  <c r="AC15" i="2"/>
  <c r="AD15" i="2" s="1"/>
  <c r="AC31" i="2"/>
  <c r="AD31" i="2" s="1"/>
  <c r="AC13" i="2"/>
  <c r="AD13" i="2" s="1"/>
  <c r="AC23" i="2"/>
  <c r="AD23" i="2" s="1"/>
  <c r="AC17" i="2"/>
  <c r="AD17" i="2" s="1"/>
  <c r="AC11" i="2"/>
  <c r="AD11" i="2" s="1"/>
  <c r="AC28" i="2"/>
  <c r="AD28" i="2" s="1"/>
  <c r="H61" i="2"/>
  <c r="AC60" i="2"/>
  <c r="AD60" i="2" s="1"/>
  <c r="AC59" i="2"/>
  <c r="AD59" i="2" s="1"/>
  <c r="AC58" i="2"/>
  <c r="AD58" i="2" s="1"/>
  <c r="AC57" i="2"/>
  <c r="AD57" i="2" s="1"/>
  <c r="AC56" i="2"/>
  <c r="AD56" i="2" s="1"/>
  <c r="AC55" i="2"/>
  <c r="AD55" i="2" s="1"/>
  <c r="AC54" i="2"/>
  <c r="AD54" i="2" s="1"/>
  <c r="AC53" i="2"/>
  <c r="AD53" i="2" s="1"/>
  <c r="AC52" i="2"/>
  <c r="AD52" i="2" s="1"/>
  <c r="AC51" i="2"/>
  <c r="AD51" i="2" s="1"/>
  <c r="AC50" i="2"/>
  <c r="AD50" i="2" s="1"/>
  <c r="AC49" i="2"/>
  <c r="AD49" i="2" s="1"/>
  <c r="AC48" i="2"/>
  <c r="AD48" i="2" s="1"/>
  <c r="AC47" i="2"/>
  <c r="AD47" i="2" s="1"/>
  <c r="AC46" i="2"/>
  <c r="AD46" i="2" s="1"/>
  <c r="AC45" i="2"/>
  <c r="AD45" i="2" s="1"/>
  <c r="AC44" i="2"/>
  <c r="AD44" i="2" s="1"/>
  <c r="AC43" i="2"/>
  <c r="AD43" i="2" s="1"/>
  <c r="AC42" i="2"/>
  <c r="AD42" i="2" s="1"/>
  <c r="AC41" i="2"/>
  <c r="AD41" i="2" s="1"/>
  <c r="AC40" i="2"/>
  <c r="AD40" i="2" s="1"/>
  <c r="AC39" i="2"/>
  <c r="AD39" i="2" s="1"/>
  <c r="AC38" i="2"/>
  <c r="AD38" i="2" s="1"/>
  <c r="AC37" i="2"/>
  <c r="AD37" i="2" s="1"/>
  <c r="AC36" i="2"/>
  <c r="AD36" i="2" s="1"/>
  <c r="N32" i="2"/>
  <c r="AE31" i="2"/>
  <c r="AF31" i="2" s="1"/>
  <c r="AE30" i="2"/>
  <c r="AF30" i="2" s="1"/>
  <c r="AE29" i="2"/>
  <c r="AF29" i="2" s="1"/>
  <c r="AE28" i="2"/>
  <c r="AF28" i="2" s="1"/>
  <c r="AE27" i="2"/>
  <c r="AF27" i="2" s="1"/>
  <c r="AE26" i="2"/>
  <c r="AF26" i="2" s="1"/>
  <c r="AE25" i="2"/>
  <c r="AF25" i="2" s="1"/>
  <c r="AE24" i="2"/>
  <c r="AF24" i="2" s="1"/>
  <c r="AE23" i="2"/>
  <c r="AF23" i="2" s="1"/>
  <c r="AE22" i="2"/>
  <c r="AF22" i="2" s="1"/>
  <c r="AE21" i="2"/>
  <c r="AF21" i="2" s="1"/>
  <c r="AE20" i="2"/>
  <c r="AF20" i="2" s="1"/>
  <c r="AE19" i="2"/>
  <c r="AF19" i="2" s="1"/>
  <c r="AE18" i="2"/>
  <c r="AF18" i="2" s="1"/>
  <c r="AE17" i="2"/>
  <c r="AF17" i="2" s="1"/>
  <c r="AE16" i="2"/>
  <c r="AF16" i="2" s="1"/>
  <c r="AE15" i="2"/>
  <c r="AF15" i="2" s="1"/>
  <c r="AE14" i="2"/>
  <c r="AF14" i="2" s="1"/>
  <c r="AE13" i="2"/>
  <c r="AF13" i="2" s="1"/>
  <c r="AE12" i="2"/>
  <c r="AF12" i="2" s="1"/>
  <c r="AE11" i="2"/>
  <c r="AF11" i="2" s="1"/>
  <c r="AE10" i="2"/>
  <c r="AF10" i="2" s="1"/>
  <c r="AE9" i="2"/>
  <c r="AF9" i="2" s="1"/>
  <c r="AE8" i="2"/>
  <c r="AF8" i="2" s="1"/>
  <c r="AE7" i="2"/>
  <c r="AF7" i="2" s="1"/>
  <c r="N61" i="2"/>
  <c r="AE60" i="2"/>
  <c r="AF60" i="2" s="1"/>
  <c r="AE59" i="2"/>
  <c r="AF59" i="2" s="1"/>
  <c r="AE58" i="2"/>
  <c r="AF58" i="2" s="1"/>
  <c r="AE57" i="2"/>
  <c r="AF57" i="2" s="1"/>
  <c r="AE56" i="2"/>
  <c r="AF56" i="2" s="1"/>
  <c r="AE55" i="2"/>
  <c r="AF55" i="2" s="1"/>
  <c r="AE54" i="2"/>
  <c r="AF54" i="2" s="1"/>
  <c r="AE53" i="2"/>
  <c r="AF53" i="2" s="1"/>
  <c r="AE52" i="2"/>
  <c r="AF52" i="2" s="1"/>
  <c r="AE51" i="2"/>
  <c r="AF51" i="2" s="1"/>
  <c r="AE50" i="2"/>
  <c r="AF50" i="2" s="1"/>
  <c r="AE49" i="2"/>
  <c r="AF49" i="2" s="1"/>
  <c r="AE48" i="2"/>
  <c r="AF48" i="2" s="1"/>
  <c r="AE47" i="2"/>
  <c r="AF47" i="2" s="1"/>
  <c r="AE46" i="2"/>
  <c r="AF46" i="2" s="1"/>
  <c r="AE45" i="2"/>
  <c r="AF45" i="2" s="1"/>
  <c r="AE44" i="2"/>
  <c r="AF44" i="2" s="1"/>
  <c r="AE43" i="2"/>
  <c r="AF43" i="2" s="1"/>
  <c r="AE42" i="2"/>
  <c r="AF42" i="2" s="1"/>
  <c r="AE41" i="2"/>
  <c r="AF41" i="2" s="1"/>
  <c r="AE40" i="2"/>
  <c r="AF40" i="2" s="1"/>
  <c r="AE39" i="2"/>
  <c r="AF39" i="2" s="1"/>
  <c r="AE38" i="2"/>
  <c r="AF38" i="2" s="1"/>
  <c r="AE37" i="2"/>
  <c r="AF37" i="2" s="1"/>
  <c r="AE36" i="2"/>
  <c r="AF36" i="2" s="1"/>
  <c r="T32" i="2"/>
  <c r="AG31" i="2"/>
  <c r="AH31" i="2" s="1"/>
  <c r="AG30" i="2"/>
  <c r="AH30" i="2" s="1"/>
  <c r="AG29" i="2"/>
  <c r="AH29" i="2" s="1"/>
  <c r="AG28" i="2"/>
  <c r="AH28" i="2" s="1"/>
  <c r="AG27" i="2"/>
  <c r="AH27" i="2" s="1"/>
  <c r="AG26" i="2"/>
  <c r="AH26" i="2" s="1"/>
  <c r="AG25" i="2"/>
  <c r="AH25" i="2" s="1"/>
  <c r="AG24" i="2"/>
  <c r="AH24" i="2" s="1"/>
  <c r="AG23" i="2"/>
  <c r="AH23" i="2" s="1"/>
  <c r="AG22" i="2"/>
  <c r="AH22" i="2" s="1"/>
  <c r="AG21" i="2"/>
  <c r="AH21" i="2" s="1"/>
  <c r="AG20" i="2"/>
  <c r="AH20" i="2" s="1"/>
  <c r="AG19" i="2"/>
  <c r="AH19" i="2" s="1"/>
  <c r="AG18" i="2"/>
  <c r="AH18" i="2" s="1"/>
  <c r="AG17" i="2"/>
  <c r="AH17" i="2" s="1"/>
  <c r="AG16" i="2"/>
  <c r="AH16" i="2" s="1"/>
  <c r="AG15" i="2"/>
  <c r="AH15" i="2" s="1"/>
  <c r="AG14" i="2"/>
  <c r="AH14" i="2" s="1"/>
  <c r="AG13" i="2"/>
  <c r="AH13" i="2" s="1"/>
  <c r="AG12" i="2"/>
  <c r="AH12" i="2" s="1"/>
  <c r="AG11" i="2"/>
  <c r="AH11" i="2" s="1"/>
  <c r="AG10" i="2"/>
  <c r="AH10" i="2" s="1"/>
  <c r="AG9" i="2"/>
  <c r="AH9" i="2" s="1"/>
  <c r="AG8" i="2"/>
  <c r="AH8" i="2" s="1"/>
  <c r="AG7" i="2"/>
  <c r="AH7" i="2" s="1"/>
  <c r="T61" i="2"/>
  <c r="AG60" i="2"/>
  <c r="AH60" i="2" s="1"/>
  <c r="AG59" i="2"/>
  <c r="AH59" i="2" s="1"/>
  <c r="AG58" i="2"/>
  <c r="AH58" i="2" s="1"/>
  <c r="AG57" i="2"/>
  <c r="AH57" i="2" s="1"/>
  <c r="AG56" i="2"/>
  <c r="AH56" i="2" s="1"/>
  <c r="AG55" i="2"/>
  <c r="AH55" i="2" s="1"/>
  <c r="AG54" i="2"/>
  <c r="AH54" i="2" s="1"/>
  <c r="AG53" i="2"/>
  <c r="AH53" i="2" s="1"/>
  <c r="AG52" i="2"/>
  <c r="AH52" i="2" s="1"/>
  <c r="AG51" i="2"/>
  <c r="AH51" i="2" s="1"/>
  <c r="AG50" i="2"/>
  <c r="AH50" i="2" s="1"/>
  <c r="AG49" i="2"/>
  <c r="AH49" i="2" s="1"/>
  <c r="AG48" i="2"/>
  <c r="AH48" i="2" s="1"/>
  <c r="AG47" i="2"/>
  <c r="AH47" i="2" s="1"/>
  <c r="AG46" i="2"/>
  <c r="AH46" i="2" s="1"/>
  <c r="AG45" i="2"/>
  <c r="AH45" i="2" s="1"/>
  <c r="AG44" i="2"/>
  <c r="AH44" i="2" s="1"/>
  <c r="AG43" i="2"/>
  <c r="AH43" i="2" s="1"/>
  <c r="AG42" i="2"/>
  <c r="AH42" i="2" s="1"/>
  <c r="AG41" i="2"/>
  <c r="AH41" i="2" s="1"/>
  <c r="AG40" i="2"/>
  <c r="AH40" i="2" s="1"/>
  <c r="AG39" i="2"/>
  <c r="AH39" i="2" s="1"/>
  <c r="AG38" i="2"/>
  <c r="AH38" i="2" s="1"/>
  <c r="AG37" i="2"/>
  <c r="AH37" i="2" s="1"/>
  <c r="AG36" i="2"/>
  <c r="AH36" i="2" s="1"/>
  <c r="Z32" i="2"/>
  <c r="AI31" i="2"/>
  <c r="AJ31" i="2" s="1"/>
  <c r="AI30" i="2"/>
  <c r="AJ30" i="2" s="1"/>
  <c r="AI29" i="2"/>
  <c r="AJ29" i="2" s="1"/>
  <c r="AI28" i="2"/>
  <c r="AJ28" i="2" s="1"/>
  <c r="AI27" i="2"/>
  <c r="AJ27" i="2" s="1"/>
  <c r="AI26" i="2"/>
  <c r="AJ26" i="2" s="1"/>
  <c r="AI25" i="2"/>
  <c r="AJ25" i="2" s="1"/>
  <c r="AI24" i="2"/>
  <c r="AJ24" i="2" s="1"/>
  <c r="AI23" i="2"/>
  <c r="AJ23" i="2" s="1"/>
  <c r="AI22" i="2"/>
  <c r="AJ22" i="2" s="1"/>
  <c r="AI21" i="2"/>
  <c r="AJ21" i="2" s="1"/>
  <c r="AI20" i="2"/>
  <c r="AJ20" i="2" s="1"/>
  <c r="AI19" i="2"/>
  <c r="AJ19" i="2" s="1"/>
  <c r="AI18" i="2"/>
  <c r="AJ18" i="2" s="1"/>
  <c r="AI17" i="2"/>
  <c r="AJ17" i="2" s="1"/>
  <c r="AI16" i="2"/>
  <c r="AJ16" i="2" s="1"/>
  <c r="AI15" i="2"/>
  <c r="AJ15" i="2" s="1"/>
  <c r="AI14" i="2"/>
  <c r="AJ14" i="2" s="1"/>
  <c r="AI13" i="2"/>
  <c r="AJ13" i="2" s="1"/>
  <c r="AI12" i="2"/>
  <c r="AJ12" i="2" s="1"/>
  <c r="AI11" i="2"/>
  <c r="AJ11" i="2" s="1"/>
  <c r="AI10" i="2"/>
  <c r="AJ10" i="2" s="1"/>
  <c r="AI9" i="2"/>
  <c r="AJ9" i="2" s="1"/>
  <c r="AI8" i="2"/>
  <c r="AJ8" i="2" s="1"/>
  <c r="AI7" i="2"/>
  <c r="AJ7" i="2" s="1"/>
  <c r="Z61" i="2"/>
  <c r="AI60" i="2"/>
  <c r="AJ60" i="2" s="1"/>
  <c r="AI59" i="2"/>
  <c r="AJ59" i="2" s="1"/>
  <c r="AI58" i="2"/>
  <c r="AJ58" i="2" s="1"/>
  <c r="AI57" i="2"/>
  <c r="AJ57" i="2" s="1"/>
  <c r="AI56" i="2"/>
  <c r="AJ56" i="2" s="1"/>
  <c r="AI55" i="2"/>
  <c r="AJ55" i="2" s="1"/>
  <c r="AI54" i="2"/>
  <c r="AJ54" i="2" s="1"/>
  <c r="AI53" i="2"/>
  <c r="AJ53" i="2" s="1"/>
  <c r="AI52" i="2"/>
  <c r="AJ52" i="2" s="1"/>
  <c r="AI51" i="2"/>
  <c r="AJ51" i="2" s="1"/>
  <c r="AI50" i="2"/>
  <c r="AJ50" i="2" s="1"/>
  <c r="AI49" i="2"/>
  <c r="AJ49" i="2" s="1"/>
  <c r="AI48" i="2"/>
  <c r="AJ48" i="2" s="1"/>
  <c r="AI47" i="2"/>
  <c r="AJ47" i="2" s="1"/>
  <c r="AI46" i="2"/>
  <c r="AJ46" i="2" s="1"/>
  <c r="AI45" i="2"/>
  <c r="AJ45" i="2" s="1"/>
  <c r="AI44" i="2"/>
  <c r="AJ44" i="2" s="1"/>
  <c r="AI43" i="2"/>
  <c r="AJ43" i="2" s="1"/>
  <c r="AI42" i="2"/>
  <c r="AJ42" i="2" s="1"/>
  <c r="AI41" i="2"/>
  <c r="AJ41" i="2" s="1"/>
  <c r="AI40" i="2"/>
  <c r="AJ40" i="2" s="1"/>
  <c r="AI39" i="2"/>
  <c r="AJ39" i="2" s="1"/>
  <c r="AI38" i="2"/>
  <c r="AJ38" i="2" s="1"/>
  <c r="AI37" i="2"/>
  <c r="AJ37" i="2" s="1"/>
  <c r="AI36" i="2"/>
  <c r="AJ36" i="2" s="1"/>
  <c r="AC14" i="5"/>
  <c r="AD14" i="5" s="1"/>
  <c r="AC26" i="5"/>
  <c r="AD26" i="5" s="1"/>
  <c r="AC17" i="5"/>
  <c r="AD17" i="5" s="1"/>
  <c r="AC10" i="5"/>
  <c r="AD10" i="5" s="1"/>
  <c r="AC21" i="5"/>
  <c r="AD21" i="5" s="1"/>
  <c r="AC8" i="5"/>
  <c r="AD8" i="5" s="1"/>
  <c r="AC27" i="5"/>
  <c r="AD27" i="5" s="1"/>
  <c r="AC16" i="5"/>
  <c r="AD16" i="5" s="1"/>
  <c r="AC28" i="5"/>
  <c r="AD28" i="5" s="1"/>
  <c r="AC12" i="5"/>
  <c r="AD12" i="5" s="1"/>
  <c r="AC29" i="5"/>
  <c r="AD29" i="5" s="1"/>
  <c r="AC19" i="5"/>
  <c r="AD19" i="5" s="1"/>
  <c r="AC9" i="5"/>
  <c r="AD9" i="5" s="1"/>
  <c r="AC30" i="5"/>
  <c r="AD30" i="5" s="1"/>
  <c r="AC13" i="5"/>
  <c r="AD13" i="5" s="1"/>
  <c r="H31" i="5"/>
  <c r="AC15" i="5"/>
  <c r="AD15" i="5" s="1"/>
  <c r="AC24" i="5"/>
  <c r="AD24" i="5" s="1"/>
  <c r="AC6" i="5"/>
  <c r="AD6" i="5" s="1"/>
  <c r="AC20" i="5"/>
  <c r="AD20" i="5" s="1"/>
  <c r="AC18" i="5"/>
  <c r="AD18" i="5" s="1"/>
  <c r="AC7" i="5"/>
  <c r="AD7" i="5" s="1"/>
  <c r="AC23" i="5"/>
  <c r="AD23" i="5" s="1"/>
  <c r="AC25" i="5"/>
  <c r="AD25" i="5" s="1"/>
  <c r="AC11" i="5"/>
  <c r="AD11" i="5" s="1"/>
  <c r="AC22" i="5"/>
  <c r="AD22" i="5" s="1"/>
  <c r="N31" i="5"/>
  <c r="AE30" i="5"/>
  <c r="AF30" i="5" s="1"/>
  <c r="AE29" i="5"/>
  <c r="AF29" i="5" s="1"/>
  <c r="AE28" i="5"/>
  <c r="AF28" i="5" s="1"/>
  <c r="AE27" i="5"/>
  <c r="AF27" i="5" s="1"/>
  <c r="AE26" i="5"/>
  <c r="AF26" i="5" s="1"/>
  <c r="AE25" i="5"/>
  <c r="AF25" i="5" s="1"/>
  <c r="AE24" i="5"/>
  <c r="AF24" i="5" s="1"/>
  <c r="AE23" i="5"/>
  <c r="AF23" i="5" s="1"/>
  <c r="AE22" i="5"/>
  <c r="AF22" i="5" s="1"/>
  <c r="AE21" i="5"/>
  <c r="AF21" i="5" s="1"/>
  <c r="AE20" i="5"/>
  <c r="AF20" i="5" s="1"/>
  <c r="AE19" i="5"/>
  <c r="AF19" i="5" s="1"/>
  <c r="AE18" i="5"/>
  <c r="AF18" i="5" s="1"/>
  <c r="AE17" i="5"/>
  <c r="AF17" i="5" s="1"/>
  <c r="AE16" i="5"/>
  <c r="AF16" i="5" s="1"/>
  <c r="AE15" i="5"/>
  <c r="AF15" i="5" s="1"/>
  <c r="AE14" i="5"/>
  <c r="AF14" i="5" s="1"/>
  <c r="AE13" i="5"/>
  <c r="AF13" i="5" s="1"/>
  <c r="AE12" i="5"/>
  <c r="AF12" i="5" s="1"/>
  <c r="AE11" i="5"/>
  <c r="AF11" i="5" s="1"/>
  <c r="AE10" i="5"/>
  <c r="AF10" i="5" s="1"/>
  <c r="AE9" i="5"/>
  <c r="AF9" i="5" s="1"/>
  <c r="AE8" i="5"/>
  <c r="AF8" i="5" s="1"/>
  <c r="AE7" i="5"/>
  <c r="AF7" i="5" s="1"/>
  <c r="AE6" i="5"/>
  <c r="AF6" i="5" s="1"/>
  <c r="T31" i="5"/>
  <c r="Z31" i="5"/>
  <c r="AI30" i="5"/>
  <c r="AJ30" i="5" s="1"/>
  <c r="AI29" i="5"/>
  <c r="AJ29" i="5" s="1"/>
  <c r="AI28" i="5"/>
  <c r="AJ28" i="5" s="1"/>
  <c r="AI27" i="5"/>
  <c r="AJ27" i="5" s="1"/>
  <c r="AI26" i="5"/>
  <c r="AJ26" i="5" s="1"/>
  <c r="AI25" i="5"/>
  <c r="AJ25" i="5" s="1"/>
  <c r="AI24" i="5"/>
  <c r="AJ24" i="5" s="1"/>
  <c r="AI23" i="5"/>
  <c r="AJ23" i="5" s="1"/>
  <c r="AI22" i="5"/>
  <c r="AJ22" i="5" s="1"/>
  <c r="AI21" i="5"/>
  <c r="AJ21" i="5" s="1"/>
  <c r="AI20" i="5"/>
  <c r="AJ20" i="5" s="1"/>
  <c r="AI19" i="5"/>
  <c r="AJ19" i="5" s="1"/>
  <c r="AI18" i="5"/>
  <c r="AJ18" i="5" s="1"/>
  <c r="AI17" i="5"/>
  <c r="AJ17" i="5" s="1"/>
  <c r="AI16" i="5"/>
  <c r="AJ16" i="5" s="1"/>
  <c r="AI15" i="5"/>
  <c r="AJ15" i="5" s="1"/>
  <c r="AI14" i="5"/>
  <c r="AJ14" i="5" s="1"/>
  <c r="AI13" i="5"/>
  <c r="AJ13" i="5" s="1"/>
  <c r="AI12" i="5"/>
  <c r="AJ12" i="5" s="1"/>
  <c r="AI11" i="5"/>
  <c r="AJ11" i="5" s="1"/>
  <c r="AI10" i="5"/>
  <c r="AJ10" i="5" s="1"/>
  <c r="AI9" i="5"/>
  <c r="AJ9" i="5" s="1"/>
  <c r="AI8" i="5"/>
  <c r="AJ8" i="5" s="1"/>
  <c r="AI7" i="5"/>
  <c r="AJ7" i="5" s="1"/>
  <c r="AI6" i="5"/>
  <c r="AJ6" i="5" s="1"/>
  <c r="AG30" i="5"/>
  <c r="AH30" i="5" s="1"/>
  <c r="AG29" i="5"/>
  <c r="AH29" i="5" s="1"/>
  <c r="AG28" i="5"/>
  <c r="AH28" i="5" s="1"/>
  <c r="AG27" i="5"/>
  <c r="AH27" i="5" s="1"/>
  <c r="AG26" i="5"/>
  <c r="AH26" i="5" s="1"/>
  <c r="AG25" i="5"/>
  <c r="AH25" i="5" s="1"/>
  <c r="AG24" i="5"/>
  <c r="AH24" i="5" s="1"/>
  <c r="AG23" i="5"/>
  <c r="AH23" i="5" s="1"/>
  <c r="AG22" i="5"/>
  <c r="AH22" i="5" s="1"/>
  <c r="AG21" i="5"/>
  <c r="AH21" i="5" s="1"/>
  <c r="AG20" i="5"/>
  <c r="AH20" i="5" s="1"/>
  <c r="AG19" i="5"/>
  <c r="AH19" i="5" s="1"/>
  <c r="AG18" i="5"/>
  <c r="AH18" i="5" s="1"/>
  <c r="AG17" i="5"/>
  <c r="AH17" i="5" s="1"/>
  <c r="AG16" i="5"/>
  <c r="AH16" i="5" s="1"/>
  <c r="AG15" i="5"/>
  <c r="AH15" i="5" s="1"/>
  <c r="AG14" i="5"/>
  <c r="AH14" i="5" s="1"/>
  <c r="AG13" i="5"/>
  <c r="AH13" i="5" s="1"/>
  <c r="AG12" i="5"/>
  <c r="AH12" i="5" s="1"/>
  <c r="AG11" i="5"/>
  <c r="AH11" i="5" s="1"/>
  <c r="AG10" i="5"/>
  <c r="AH10" i="5" s="1"/>
  <c r="AG9" i="5"/>
  <c r="AH9" i="5" s="1"/>
  <c r="H60" i="5"/>
  <c r="AC59" i="5"/>
  <c r="AD59" i="5" s="1"/>
  <c r="AC58" i="5"/>
  <c r="AD58" i="5" s="1"/>
  <c r="AC57" i="5"/>
  <c r="AD57" i="5" s="1"/>
  <c r="AC56" i="5"/>
  <c r="AD56" i="5" s="1"/>
  <c r="AC55" i="5"/>
  <c r="AD55" i="5" s="1"/>
  <c r="AC54" i="5"/>
  <c r="AD54" i="5" s="1"/>
  <c r="AC53" i="5"/>
  <c r="AD53" i="5" s="1"/>
  <c r="AC52" i="5"/>
  <c r="AD52" i="5" s="1"/>
  <c r="AC51" i="5"/>
  <c r="AD51" i="5" s="1"/>
  <c r="AC50" i="5"/>
  <c r="AD50" i="5" s="1"/>
  <c r="AC49" i="5"/>
  <c r="AD49" i="5" s="1"/>
  <c r="AC48" i="5"/>
  <c r="AD48" i="5" s="1"/>
  <c r="AC47" i="5"/>
  <c r="AD47" i="5" s="1"/>
  <c r="AC46" i="5"/>
  <c r="AD46" i="5" s="1"/>
  <c r="AC45" i="5"/>
  <c r="AD45" i="5" s="1"/>
  <c r="AC44" i="5"/>
  <c r="AD44" i="5" s="1"/>
  <c r="AC43" i="5"/>
  <c r="AD43" i="5" s="1"/>
  <c r="AC42" i="5"/>
  <c r="AD42" i="5" s="1"/>
  <c r="AC41" i="5"/>
  <c r="AD41" i="5" s="1"/>
  <c r="AC40" i="5"/>
  <c r="AD40" i="5" s="1"/>
  <c r="AC39" i="5"/>
  <c r="AD39" i="5" s="1"/>
  <c r="AC38" i="5"/>
  <c r="AD38" i="5" s="1"/>
  <c r="AC37" i="5"/>
  <c r="AD37" i="5" s="1"/>
  <c r="AC36" i="5"/>
  <c r="AD36" i="5" s="1"/>
  <c r="AC35" i="5"/>
  <c r="AD35" i="5" s="1"/>
  <c r="N60" i="5"/>
  <c r="AE59" i="5"/>
  <c r="AF59" i="5" s="1"/>
  <c r="AE58" i="5"/>
  <c r="AF58" i="5" s="1"/>
  <c r="AE57" i="5"/>
  <c r="AF57" i="5" s="1"/>
  <c r="AE56" i="5"/>
  <c r="AF56" i="5" s="1"/>
  <c r="AE55" i="5"/>
  <c r="AF55" i="5" s="1"/>
  <c r="AE54" i="5"/>
  <c r="AF54" i="5" s="1"/>
  <c r="AE53" i="5"/>
  <c r="AF53" i="5" s="1"/>
  <c r="AE52" i="5"/>
  <c r="AF52" i="5" s="1"/>
  <c r="AE51" i="5"/>
  <c r="AF51" i="5" s="1"/>
  <c r="AE50" i="5"/>
  <c r="AF50" i="5" s="1"/>
  <c r="AE49" i="5"/>
  <c r="AF49" i="5" s="1"/>
  <c r="AE48" i="5"/>
  <c r="AF48" i="5" s="1"/>
  <c r="AE47" i="5"/>
  <c r="AF47" i="5" s="1"/>
  <c r="AE46" i="5"/>
  <c r="AF46" i="5" s="1"/>
  <c r="AE45" i="5"/>
  <c r="AF45" i="5" s="1"/>
  <c r="AE44" i="5"/>
  <c r="AF44" i="5" s="1"/>
  <c r="AE43" i="5"/>
  <c r="AF43" i="5" s="1"/>
  <c r="AE42" i="5"/>
  <c r="AF42" i="5" s="1"/>
  <c r="AE41" i="5"/>
  <c r="AF41" i="5" s="1"/>
  <c r="AE40" i="5"/>
  <c r="AF40" i="5" s="1"/>
  <c r="AE39" i="5"/>
  <c r="AF39" i="5" s="1"/>
  <c r="AE38" i="5"/>
  <c r="AF38" i="5" s="1"/>
  <c r="AE37" i="5"/>
  <c r="AF37" i="5" s="1"/>
  <c r="AE36" i="5"/>
  <c r="AF36" i="5" s="1"/>
  <c r="AE35" i="5"/>
  <c r="AF35" i="5" s="1"/>
  <c r="T60" i="5"/>
  <c r="AG59" i="5"/>
  <c r="AH59" i="5" s="1"/>
  <c r="AG58" i="5"/>
  <c r="AH58" i="5" s="1"/>
  <c r="AG57" i="5"/>
  <c r="AH57" i="5" s="1"/>
  <c r="AG56" i="5"/>
  <c r="AH56" i="5" s="1"/>
  <c r="AG55" i="5"/>
  <c r="AH55" i="5" s="1"/>
  <c r="AG54" i="5"/>
  <c r="AH54" i="5" s="1"/>
  <c r="AG53" i="5"/>
  <c r="AH53" i="5" s="1"/>
  <c r="AG52" i="5"/>
  <c r="AH52" i="5" s="1"/>
  <c r="AG51" i="5"/>
  <c r="AH51" i="5" s="1"/>
  <c r="AG50" i="5"/>
  <c r="AH50" i="5" s="1"/>
  <c r="AG49" i="5"/>
  <c r="AH49" i="5" s="1"/>
  <c r="AG48" i="5"/>
  <c r="AH48" i="5" s="1"/>
  <c r="AG47" i="5"/>
  <c r="AH47" i="5" s="1"/>
  <c r="AG46" i="5"/>
  <c r="AH46" i="5" s="1"/>
  <c r="AG45" i="5"/>
  <c r="AH45" i="5" s="1"/>
  <c r="AG44" i="5"/>
  <c r="AH44" i="5" s="1"/>
  <c r="AG43" i="5"/>
  <c r="AH43" i="5" s="1"/>
  <c r="AG42" i="5"/>
  <c r="AH42" i="5" s="1"/>
  <c r="AG41" i="5"/>
  <c r="AH41" i="5" s="1"/>
  <c r="AG40" i="5"/>
  <c r="AH40" i="5" s="1"/>
  <c r="AG39" i="5"/>
  <c r="AH39" i="5" s="1"/>
  <c r="AG38" i="5"/>
  <c r="AH38" i="5" s="1"/>
  <c r="AG37" i="5"/>
  <c r="AH37" i="5" s="1"/>
  <c r="AG36" i="5"/>
  <c r="AH36" i="5" s="1"/>
  <c r="AG35" i="5"/>
  <c r="AH35" i="5" s="1"/>
  <c r="Z60" i="5"/>
  <c r="AI59" i="5"/>
  <c r="AJ59" i="5" s="1"/>
  <c r="AI58" i="5"/>
  <c r="AJ58" i="5" s="1"/>
  <c r="AI57" i="5"/>
  <c r="AJ57" i="5" s="1"/>
  <c r="AI56" i="5"/>
  <c r="AJ56" i="5" s="1"/>
  <c r="AI55" i="5"/>
  <c r="AJ55" i="5" s="1"/>
  <c r="AI54" i="5"/>
  <c r="AJ54" i="5" s="1"/>
  <c r="AI53" i="5"/>
  <c r="AJ53" i="5" s="1"/>
  <c r="AI52" i="5"/>
  <c r="AJ52" i="5" s="1"/>
  <c r="AI51" i="5"/>
  <c r="AJ51" i="5" s="1"/>
  <c r="AI50" i="5"/>
  <c r="AJ50" i="5" s="1"/>
  <c r="AI49" i="5"/>
  <c r="AJ49" i="5" s="1"/>
  <c r="AI48" i="5"/>
  <c r="AJ48" i="5" s="1"/>
  <c r="AI47" i="5"/>
  <c r="AJ47" i="5" s="1"/>
  <c r="AI46" i="5"/>
  <c r="AJ46" i="5" s="1"/>
  <c r="AI45" i="5"/>
  <c r="AJ45" i="5" s="1"/>
  <c r="AI44" i="5"/>
  <c r="AJ44" i="5" s="1"/>
  <c r="AI43" i="5"/>
  <c r="AJ43" i="5" s="1"/>
  <c r="AI42" i="5"/>
  <c r="AJ42" i="5" s="1"/>
  <c r="AI41" i="5"/>
  <c r="AJ41" i="5" s="1"/>
  <c r="AI40" i="5"/>
  <c r="AJ40" i="5" s="1"/>
  <c r="AI39" i="5"/>
  <c r="AJ39" i="5" s="1"/>
  <c r="AI38" i="5"/>
  <c r="AJ38" i="5" s="1"/>
  <c r="AI37" i="5"/>
  <c r="AJ37" i="5" s="1"/>
  <c r="AI36" i="5"/>
  <c r="AJ36" i="5" s="1"/>
  <c r="AI35" i="5"/>
  <c r="AJ35" i="5" s="1"/>
  <c r="AC42" i="4" l="1"/>
  <c r="AB42" i="4"/>
  <c r="AA42" i="4"/>
  <c r="Z42" i="4"/>
  <c r="Y42" i="4"/>
  <c r="X42" i="4"/>
  <c r="W42" i="4"/>
  <c r="V42" i="4"/>
  <c r="U42" i="4"/>
  <c r="T42" i="4"/>
  <c r="S42" i="4"/>
  <c r="AC41" i="4"/>
  <c r="AB41" i="4"/>
  <c r="AA41" i="4"/>
  <c r="Z41" i="4"/>
  <c r="Y41" i="4"/>
  <c r="X41" i="4"/>
  <c r="W41" i="4"/>
  <c r="V41" i="4"/>
  <c r="U41" i="4"/>
  <c r="T41" i="4"/>
  <c r="S41" i="4"/>
  <c r="AC40" i="4"/>
  <c r="AB40" i="4"/>
  <c r="AA40" i="4"/>
  <c r="Z40" i="4"/>
  <c r="Y40" i="4"/>
  <c r="X40" i="4"/>
  <c r="W40" i="4"/>
  <c r="V40" i="4"/>
  <c r="U40" i="4"/>
  <c r="T40" i="4"/>
  <c r="S40" i="4"/>
  <c r="AC39" i="4"/>
  <c r="AB39" i="4"/>
  <c r="AA39" i="4"/>
  <c r="Z39" i="4"/>
  <c r="Y39" i="4"/>
  <c r="X39" i="4"/>
  <c r="W39" i="4"/>
  <c r="V39" i="4"/>
  <c r="U39" i="4"/>
  <c r="T39" i="4"/>
  <c r="S39" i="4"/>
  <c r="AC38" i="4"/>
  <c r="AB38" i="4"/>
  <c r="AA38" i="4"/>
  <c r="Z38" i="4"/>
  <c r="Y38" i="4"/>
  <c r="X38" i="4"/>
  <c r="W38" i="4"/>
  <c r="V38" i="4"/>
  <c r="U38" i="4"/>
  <c r="T38" i="4"/>
  <c r="S38" i="4"/>
  <c r="AC37" i="4"/>
  <c r="AB37" i="4"/>
  <c r="AA37" i="4"/>
  <c r="Z37" i="4"/>
  <c r="Y37" i="4"/>
  <c r="X37" i="4"/>
  <c r="W37" i="4"/>
  <c r="V37" i="4"/>
  <c r="U37" i="4"/>
  <c r="T37" i="4"/>
  <c r="S37" i="4"/>
  <c r="AC36" i="4"/>
  <c r="AB36" i="4"/>
  <c r="AA36" i="4"/>
  <c r="Z36" i="4"/>
  <c r="Y36" i="4"/>
  <c r="X36" i="4"/>
  <c r="W36" i="4"/>
  <c r="V36" i="4"/>
  <c r="U36" i="4"/>
  <c r="T36" i="4"/>
  <c r="S36" i="4"/>
  <c r="AC35" i="4"/>
  <c r="AB35" i="4"/>
  <c r="AA35" i="4"/>
  <c r="Z35" i="4"/>
  <c r="Y35" i="4"/>
  <c r="X35" i="4"/>
  <c r="W35" i="4"/>
  <c r="V35" i="4"/>
  <c r="U35" i="4"/>
  <c r="T35" i="4"/>
  <c r="S35" i="4"/>
  <c r="AC34" i="4"/>
  <c r="AB34" i="4"/>
  <c r="AA34" i="4"/>
  <c r="Z34" i="4"/>
  <c r="Y34" i="4"/>
  <c r="X34" i="4"/>
  <c r="W34" i="4"/>
  <c r="V34" i="4"/>
  <c r="U34" i="4"/>
  <c r="T34" i="4"/>
  <c r="S34" i="4"/>
  <c r="AC33" i="4"/>
  <c r="AB33" i="4"/>
  <c r="AA33" i="4"/>
  <c r="Z33" i="4"/>
  <c r="Y33" i="4"/>
  <c r="X33" i="4"/>
  <c r="W33" i="4"/>
  <c r="V33" i="4"/>
  <c r="U33" i="4"/>
  <c r="T33" i="4"/>
  <c r="S33" i="4"/>
  <c r="AC32" i="4"/>
  <c r="AB32" i="4"/>
  <c r="AA32" i="4"/>
  <c r="Z32" i="4"/>
  <c r="Y32" i="4"/>
  <c r="X32" i="4"/>
  <c r="W32" i="4"/>
  <c r="V32" i="4"/>
  <c r="U32" i="4"/>
  <c r="T32" i="4"/>
  <c r="S32" i="4"/>
  <c r="AC31" i="4"/>
  <c r="AB31" i="4"/>
  <c r="AA31" i="4"/>
  <c r="Z31" i="4"/>
  <c r="Y31" i="4"/>
  <c r="X31" i="4"/>
  <c r="W31" i="4"/>
  <c r="V31" i="4"/>
  <c r="U31" i="4"/>
  <c r="T31" i="4"/>
  <c r="S31" i="4"/>
  <c r="AC30" i="4"/>
  <c r="AB30" i="4"/>
  <c r="AA30" i="4"/>
  <c r="Z30" i="4"/>
  <c r="Y30" i="4"/>
  <c r="X30" i="4"/>
  <c r="W30" i="4"/>
  <c r="V30" i="4"/>
  <c r="U30" i="4"/>
  <c r="T30" i="4"/>
  <c r="S30" i="4"/>
  <c r="AC29" i="4"/>
  <c r="AB29" i="4"/>
  <c r="AA29" i="4"/>
  <c r="Z29" i="4"/>
  <c r="Y29" i="4"/>
  <c r="X29" i="4"/>
  <c r="W29" i="4"/>
  <c r="V29" i="4"/>
  <c r="U29" i="4"/>
  <c r="T29" i="4"/>
  <c r="S29" i="4"/>
  <c r="AC28" i="4"/>
  <c r="AB28" i="4"/>
  <c r="AA28" i="4"/>
  <c r="Z28" i="4"/>
  <c r="Y28" i="4"/>
  <c r="X28" i="4"/>
  <c r="W28" i="4"/>
  <c r="V28" i="4"/>
  <c r="U28" i="4"/>
  <c r="T28" i="4"/>
  <c r="S28" i="4"/>
  <c r="AC27" i="4"/>
  <c r="AB27" i="4"/>
  <c r="AA27" i="4"/>
  <c r="Z27" i="4"/>
  <c r="Y27" i="4"/>
  <c r="X27" i="4"/>
  <c r="W27" i="4"/>
  <c r="V27" i="4"/>
  <c r="U27" i="4"/>
  <c r="T27" i="4"/>
  <c r="S27" i="4"/>
  <c r="AC26" i="4"/>
  <c r="AB26" i="4"/>
  <c r="AA26" i="4"/>
  <c r="Z26" i="4"/>
  <c r="Y26" i="4"/>
  <c r="X26" i="4"/>
  <c r="W26" i="4"/>
  <c r="V26" i="4"/>
  <c r="U26" i="4"/>
  <c r="T26" i="4"/>
  <c r="S26" i="4"/>
  <c r="AC25" i="4"/>
  <c r="AB25" i="4"/>
  <c r="AA25" i="4"/>
  <c r="Z25" i="4"/>
  <c r="Y25" i="4"/>
  <c r="Y50" i="4" s="1"/>
  <c r="X25" i="4"/>
  <c r="W25" i="4"/>
  <c r="V25" i="4"/>
  <c r="U25" i="4"/>
  <c r="T25" i="4"/>
  <c r="S25" i="4"/>
  <c r="AC24" i="4"/>
  <c r="AB24" i="4"/>
  <c r="AA24" i="4"/>
  <c r="Z24" i="4"/>
  <c r="Y24" i="4"/>
  <c r="X24" i="4"/>
  <c r="W24" i="4"/>
  <c r="V24" i="4"/>
  <c r="U24" i="4"/>
  <c r="T24" i="4"/>
  <c r="S24" i="4"/>
  <c r="AC23" i="4"/>
  <c r="AB23" i="4"/>
  <c r="AA23" i="4"/>
  <c r="Z23" i="4"/>
  <c r="Y23" i="4"/>
  <c r="X23" i="4"/>
  <c r="W23" i="4"/>
  <c r="V23" i="4"/>
  <c r="U23" i="4"/>
  <c r="T23" i="4"/>
  <c r="S23" i="4"/>
  <c r="AC22" i="4"/>
  <c r="AB22" i="4"/>
  <c r="AA22" i="4"/>
  <c r="Z22" i="4"/>
  <c r="Y22" i="4"/>
  <c r="X22" i="4"/>
  <c r="W22" i="4"/>
  <c r="V22" i="4"/>
  <c r="U22" i="4"/>
  <c r="T22" i="4"/>
  <c r="S22" i="4"/>
  <c r="AC21" i="4"/>
  <c r="AB21" i="4"/>
  <c r="AA21" i="4"/>
  <c r="Z21" i="4"/>
  <c r="Y21" i="4"/>
  <c r="X21" i="4"/>
  <c r="W21" i="4"/>
  <c r="V21" i="4"/>
  <c r="U21" i="4"/>
  <c r="T21" i="4"/>
  <c r="S21" i="4"/>
  <c r="AC20" i="4"/>
  <c r="AB20" i="4"/>
  <c r="AA20" i="4"/>
  <c r="Z20" i="4"/>
  <c r="Y20" i="4"/>
  <c r="X20" i="4"/>
  <c r="W20" i="4"/>
  <c r="V20" i="4"/>
  <c r="U20" i="4"/>
  <c r="T20" i="4"/>
  <c r="S20" i="4"/>
  <c r="AC19" i="4"/>
  <c r="AB19" i="4"/>
  <c r="AA19" i="4"/>
  <c r="Z19" i="4"/>
  <c r="Y19" i="4"/>
  <c r="X19" i="4"/>
  <c r="W19" i="4"/>
  <c r="V19" i="4"/>
  <c r="U19" i="4"/>
  <c r="T19" i="4"/>
  <c r="S19" i="4"/>
  <c r="AC18" i="4"/>
  <c r="AB18" i="4"/>
  <c r="AA18" i="4"/>
  <c r="Z18" i="4"/>
  <c r="Y18" i="4"/>
  <c r="X18" i="4"/>
  <c r="W18" i="4"/>
  <c r="V18" i="4"/>
  <c r="U18" i="4"/>
  <c r="T18" i="4"/>
  <c r="S18" i="4"/>
  <c r="AC17" i="4"/>
  <c r="AB17" i="4"/>
  <c r="AA17" i="4"/>
  <c r="Z17" i="4"/>
  <c r="Y17" i="4"/>
  <c r="X17" i="4"/>
  <c r="W17" i="4"/>
  <c r="V17" i="4"/>
  <c r="U17" i="4"/>
  <c r="T17" i="4"/>
  <c r="S17" i="4"/>
  <c r="AC16" i="4"/>
  <c r="AB16" i="4"/>
  <c r="AA16" i="4"/>
  <c r="Z16" i="4"/>
  <c r="Y16" i="4"/>
  <c r="X16" i="4"/>
  <c r="W16" i="4"/>
  <c r="V16" i="4"/>
  <c r="U16" i="4"/>
  <c r="T16" i="4"/>
  <c r="S16" i="4"/>
  <c r="AC15" i="4"/>
  <c r="AB15" i="4"/>
  <c r="AA15" i="4"/>
  <c r="Z15" i="4"/>
  <c r="Y15" i="4"/>
  <c r="X15" i="4"/>
  <c r="W15" i="4"/>
  <c r="V15" i="4"/>
  <c r="U15" i="4"/>
  <c r="T15" i="4"/>
  <c r="S15" i="4"/>
  <c r="AC14" i="4"/>
  <c r="AB14" i="4"/>
  <c r="AA14" i="4"/>
  <c r="Z14" i="4"/>
  <c r="Y14" i="4"/>
  <c r="X14" i="4"/>
  <c r="W14" i="4"/>
  <c r="V14" i="4"/>
  <c r="U14" i="4"/>
  <c r="T14" i="4"/>
  <c r="S14" i="4"/>
  <c r="AC13" i="4"/>
  <c r="AB13" i="4"/>
  <c r="AA13" i="4"/>
  <c r="Z13" i="4"/>
  <c r="Y13" i="4"/>
  <c r="X13" i="4"/>
  <c r="W13" i="4"/>
  <c r="V13" i="4"/>
  <c r="U13" i="4"/>
  <c r="T13" i="4"/>
  <c r="S13" i="4"/>
  <c r="AC12" i="4"/>
  <c r="AB12" i="4"/>
  <c r="AA12" i="4"/>
  <c r="Z12" i="4"/>
  <c r="Y12" i="4"/>
  <c r="X12" i="4"/>
  <c r="W12" i="4"/>
  <c r="V12" i="4"/>
  <c r="U12" i="4"/>
  <c r="T12" i="4"/>
  <c r="S12" i="4"/>
  <c r="AC11" i="4"/>
  <c r="AB11" i="4"/>
  <c r="AA11" i="4"/>
  <c r="Z11" i="4"/>
  <c r="Y11" i="4"/>
  <c r="X11" i="4"/>
  <c r="W11" i="4"/>
  <c r="V11" i="4"/>
  <c r="U11" i="4"/>
  <c r="T11" i="4"/>
  <c r="T48" i="4" l="1"/>
  <c r="AB50" i="4"/>
  <c r="X52" i="4"/>
  <c r="AB53" i="4"/>
  <c r="Y52" i="4"/>
  <c r="AC53" i="4"/>
  <c r="Y54" i="4"/>
  <c r="S53" i="4"/>
  <c r="V48" i="4"/>
  <c r="AA52" i="4"/>
  <c r="AC50" i="4"/>
  <c r="U54" i="4"/>
  <c r="T47" i="4"/>
  <c r="X48" i="4"/>
  <c r="T50" i="4"/>
  <c r="AB52" i="4"/>
  <c r="T53" i="4"/>
  <c r="X54" i="4"/>
  <c r="Y48" i="4"/>
  <c r="Z48" i="4"/>
  <c r="U50" i="4"/>
  <c r="W50" i="4"/>
  <c r="AC52" i="4"/>
  <c r="U53" i="4"/>
  <c r="X53" i="4"/>
  <c r="V54" i="4"/>
  <c r="Z52" i="4"/>
  <c r="W48" i="4"/>
  <c r="S52" i="4"/>
  <c r="W53" i="4"/>
  <c r="AB48" i="4"/>
  <c r="S48" i="4"/>
  <c r="U52" i="4"/>
  <c r="Y53" i="4"/>
  <c r="AC54" i="4"/>
  <c r="U48" i="4"/>
  <c r="V50" i="4"/>
  <c r="V53" i="4"/>
  <c r="S49" i="4"/>
  <c r="X50" i="4"/>
  <c r="Z50" i="4"/>
  <c r="S51" i="4"/>
  <c r="V52" i="4"/>
  <c r="Z53" i="4"/>
  <c r="AA53" i="4"/>
  <c r="W54" i="4"/>
  <c r="S47" i="4"/>
  <c r="S50" i="4"/>
  <c r="Z54" i="4"/>
  <c r="AA48" i="4"/>
  <c r="AC48" i="4"/>
  <c r="AA54" i="4"/>
  <c r="AB54" i="4"/>
  <c r="AA50" i="4"/>
  <c r="W52" i="4"/>
  <c r="S54" i="4"/>
  <c r="H7" i="3"/>
  <c r="H8" i="3"/>
  <c r="H9" i="3"/>
  <c r="H10" i="3"/>
  <c r="H11" i="3"/>
  <c r="H12" i="3"/>
  <c r="H13" i="3"/>
  <c r="H14" i="3"/>
  <c r="H15" i="3"/>
  <c r="H16" i="3"/>
  <c r="H17" i="3"/>
  <c r="H18" i="3"/>
  <c r="H19" i="3"/>
  <c r="H20" i="3"/>
  <c r="H21" i="3"/>
  <c r="H22" i="3"/>
  <c r="H23" i="3"/>
  <c r="H24" i="3"/>
  <c r="H25" i="3"/>
  <c r="H26" i="3"/>
  <c r="H27" i="3"/>
  <c r="H28" i="3"/>
  <c r="H29" i="3"/>
  <c r="H30" i="3"/>
  <c r="H31" i="3"/>
  <c r="H32" i="3"/>
  <c r="H33" i="3"/>
  <c r="H34" i="3"/>
  <c r="Q40" i="3"/>
  <c r="Q41" i="3"/>
  <c r="Q42" i="3"/>
  <c r="Q43" i="3"/>
  <c r="Q49" i="3"/>
  <c r="Q50" i="3"/>
  <c r="Q51" i="3"/>
  <c r="Q52" i="3"/>
  <c r="L58" i="1"/>
  <c r="K58" i="1"/>
  <c r="E58" i="1"/>
  <c r="D58" i="1"/>
  <c r="L57" i="1"/>
  <c r="K57" i="1"/>
  <c r="E57" i="1"/>
  <c r="D57" i="1"/>
  <c r="N56" i="1"/>
  <c r="M56" i="1"/>
  <c r="J56" i="1"/>
  <c r="G56" i="1"/>
  <c r="F56" i="1"/>
  <c r="C56" i="1"/>
  <c r="N55" i="1"/>
  <c r="M55" i="1"/>
  <c r="J55" i="1"/>
  <c r="G55" i="1"/>
  <c r="F55" i="1"/>
  <c r="C55" i="1"/>
  <c r="N54" i="1"/>
  <c r="M54" i="1"/>
  <c r="J54" i="1"/>
  <c r="G54" i="1"/>
  <c r="F54" i="1"/>
  <c r="C54" i="1"/>
  <c r="N53" i="1"/>
  <c r="M53" i="1"/>
  <c r="J53" i="1"/>
  <c r="G53" i="1"/>
  <c r="F53" i="1"/>
  <c r="C53" i="1"/>
  <c r="N52" i="1"/>
  <c r="M52" i="1"/>
  <c r="J52" i="1"/>
  <c r="G52" i="1"/>
  <c r="F52" i="1"/>
  <c r="C52" i="1"/>
  <c r="N51" i="1"/>
  <c r="M51" i="1"/>
  <c r="J51" i="1"/>
  <c r="G51" i="1"/>
  <c r="F51" i="1"/>
  <c r="C51" i="1"/>
  <c r="N50" i="1"/>
  <c r="M50" i="1"/>
  <c r="J50" i="1"/>
  <c r="G50" i="1"/>
  <c r="F50" i="1"/>
  <c r="C50" i="1"/>
  <c r="N49" i="1"/>
  <c r="M49" i="1"/>
  <c r="J49" i="1"/>
  <c r="G49" i="1"/>
  <c r="F49" i="1"/>
  <c r="C49" i="1"/>
  <c r="N48" i="1"/>
  <c r="M48" i="1"/>
  <c r="J48" i="1"/>
  <c r="G48" i="1"/>
  <c r="F48" i="1"/>
  <c r="C48" i="1"/>
  <c r="N47" i="1"/>
  <c r="M47" i="1"/>
  <c r="J47" i="1"/>
  <c r="G47" i="1"/>
  <c r="F47" i="1"/>
  <c r="C47" i="1"/>
  <c r="N46" i="1"/>
  <c r="M46" i="1"/>
  <c r="J46" i="1"/>
  <c r="G46" i="1"/>
  <c r="F46" i="1"/>
  <c r="C46" i="1"/>
  <c r="N45" i="1"/>
  <c r="M45" i="1"/>
  <c r="J45" i="1"/>
  <c r="G45" i="1"/>
  <c r="F45" i="1"/>
  <c r="C45" i="1"/>
  <c r="N44" i="1"/>
  <c r="M44" i="1"/>
  <c r="J44" i="1"/>
  <c r="G44" i="1"/>
  <c r="F44" i="1"/>
  <c r="C44" i="1"/>
  <c r="N43" i="1"/>
  <c r="M43" i="1"/>
  <c r="J43" i="1"/>
  <c r="G43" i="1"/>
  <c r="F43" i="1"/>
  <c r="C43" i="1"/>
  <c r="N42" i="1"/>
  <c r="M42" i="1"/>
  <c r="J42" i="1"/>
  <c r="G42" i="1"/>
  <c r="F42" i="1"/>
  <c r="C42" i="1"/>
  <c r="N41" i="1"/>
  <c r="M41" i="1"/>
  <c r="J41" i="1"/>
  <c r="G41" i="1"/>
  <c r="F41" i="1"/>
  <c r="C41" i="1"/>
  <c r="N40" i="1"/>
  <c r="M40" i="1"/>
  <c r="J40" i="1"/>
  <c r="G40" i="1"/>
  <c r="F40" i="1"/>
  <c r="C40" i="1"/>
  <c r="N39" i="1"/>
  <c r="M39" i="1"/>
  <c r="J39" i="1"/>
  <c r="G39" i="1"/>
  <c r="F39" i="1"/>
  <c r="C39" i="1"/>
  <c r="N38" i="1"/>
  <c r="M38" i="1"/>
  <c r="J38" i="1"/>
  <c r="G38" i="1"/>
  <c r="F38" i="1"/>
  <c r="C38" i="1"/>
  <c r="N37" i="1"/>
  <c r="M37" i="1"/>
  <c r="J37" i="1"/>
  <c r="G37" i="1"/>
  <c r="F37" i="1"/>
  <c r="C37" i="1"/>
  <c r="N36" i="1"/>
  <c r="M36" i="1"/>
  <c r="J36" i="1"/>
  <c r="G36" i="1"/>
  <c r="F36" i="1"/>
  <c r="C36" i="1"/>
  <c r="N35" i="1"/>
  <c r="M35" i="1"/>
  <c r="J35" i="1"/>
  <c r="G35" i="1"/>
  <c r="F35" i="1"/>
  <c r="C35" i="1"/>
  <c r="N34" i="1"/>
  <c r="M34" i="1"/>
  <c r="J34" i="1"/>
  <c r="G34" i="1"/>
  <c r="F34" i="1"/>
  <c r="C34" i="1"/>
  <c r="N33" i="1"/>
  <c r="M33" i="1"/>
  <c r="J33" i="1"/>
  <c r="G33" i="1"/>
  <c r="F33" i="1"/>
  <c r="C33" i="1"/>
  <c r="N32" i="1"/>
  <c r="M32" i="1"/>
  <c r="J32" i="1"/>
  <c r="G32" i="1"/>
  <c r="F32" i="1"/>
  <c r="C32" i="1"/>
  <c r="N31" i="1"/>
  <c r="M31" i="1"/>
  <c r="J31" i="1"/>
  <c r="G31" i="1"/>
  <c r="F31" i="1"/>
  <c r="C31" i="1"/>
  <c r="N30" i="1"/>
  <c r="M30" i="1"/>
  <c r="J30" i="1"/>
  <c r="G30" i="1"/>
  <c r="F30" i="1"/>
  <c r="C30" i="1"/>
  <c r="N29" i="1"/>
  <c r="M29" i="1"/>
  <c r="G29" i="1"/>
  <c r="F29" i="1"/>
  <c r="C29" i="1"/>
  <c r="N28" i="1"/>
  <c r="M28" i="1"/>
  <c r="J28" i="1"/>
  <c r="G28" i="1"/>
  <c r="F28" i="1"/>
  <c r="C28" i="1"/>
  <c r="N27" i="1"/>
  <c r="M27" i="1"/>
  <c r="J27" i="1"/>
  <c r="G27" i="1"/>
  <c r="F27" i="1"/>
  <c r="C27" i="1"/>
  <c r="N26" i="1"/>
  <c r="M26" i="1"/>
  <c r="J26" i="1"/>
  <c r="G26" i="1"/>
  <c r="F26" i="1"/>
  <c r="C26" i="1"/>
  <c r="N25" i="1"/>
  <c r="M25" i="1"/>
  <c r="J25" i="1"/>
  <c r="G25" i="1"/>
  <c r="F25" i="1"/>
  <c r="C25" i="1"/>
  <c r="N24" i="1"/>
  <c r="M24" i="1"/>
  <c r="J24" i="1"/>
  <c r="G24" i="1"/>
  <c r="F24" i="1"/>
  <c r="C24" i="1"/>
  <c r="N23" i="1"/>
  <c r="M23" i="1"/>
  <c r="J23" i="1"/>
  <c r="G23" i="1"/>
  <c r="F23" i="1"/>
  <c r="C23" i="1"/>
  <c r="N22" i="1"/>
  <c r="M22" i="1"/>
  <c r="J22" i="1"/>
  <c r="G22" i="1"/>
  <c r="F22" i="1"/>
  <c r="C22" i="1"/>
  <c r="N21" i="1"/>
  <c r="M21" i="1"/>
  <c r="J21" i="1"/>
  <c r="G21" i="1"/>
  <c r="F21" i="1"/>
  <c r="C21" i="1"/>
  <c r="N20" i="1"/>
  <c r="M20" i="1"/>
  <c r="J20" i="1"/>
  <c r="G20" i="1"/>
  <c r="F20" i="1"/>
  <c r="C20" i="1"/>
  <c r="N19" i="1"/>
  <c r="M19" i="1"/>
  <c r="J19" i="1"/>
  <c r="G19" i="1"/>
  <c r="F19" i="1"/>
  <c r="C19" i="1"/>
  <c r="N18" i="1"/>
  <c r="M18" i="1"/>
  <c r="J18" i="1"/>
  <c r="G18" i="1"/>
  <c r="F18" i="1"/>
  <c r="C18" i="1"/>
  <c r="N17" i="1"/>
  <c r="M17" i="1"/>
  <c r="J17" i="1"/>
  <c r="G17" i="1"/>
  <c r="F17" i="1"/>
  <c r="C17" i="1"/>
  <c r="N16" i="1"/>
  <c r="M16" i="1"/>
  <c r="J16" i="1"/>
  <c r="G16" i="1"/>
  <c r="F16" i="1"/>
  <c r="C16" i="1"/>
  <c r="N15" i="1"/>
  <c r="M15" i="1"/>
  <c r="J15" i="1"/>
  <c r="G15" i="1"/>
  <c r="F15" i="1"/>
  <c r="C15" i="1"/>
  <c r="N14" i="1"/>
  <c r="M14" i="1"/>
  <c r="J14" i="1"/>
  <c r="G14" i="1"/>
  <c r="F14" i="1"/>
  <c r="C14" i="1"/>
  <c r="N13" i="1"/>
  <c r="M13" i="1"/>
  <c r="J13" i="1"/>
  <c r="G13" i="1"/>
  <c r="F13" i="1"/>
  <c r="C13" i="1"/>
  <c r="N12" i="1"/>
  <c r="M12" i="1"/>
  <c r="J12" i="1"/>
  <c r="G12" i="1"/>
  <c r="F12" i="1"/>
  <c r="C12" i="1"/>
  <c r="N11" i="1"/>
  <c r="M11" i="1"/>
  <c r="J11" i="1"/>
  <c r="G11" i="1"/>
  <c r="F11" i="1"/>
  <c r="C11" i="1"/>
  <c r="N10" i="1"/>
  <c r="M10" i="1"/>
  <c r="J10" i="1"/>
  <c r="G10" i="1"/>
  <c r="F10" i="1"/>
  <c r="C10" i="1"/>
  <c r="N9" i="1"/>
  <c r="M9" i="1"/>
  <c r="J9" i="1"/>
  <c r="G9" i="1"/>
  <c r="F9" i="1"/>
  <c r="C9" i="1"/>
  <c r="N8" i="1"/>
  <c r="M8" i="1"/>
  <c r="J8" i="1"/>
  <c r="G8" i="1"/>
  <c r="F8" i="1"/>
  <c r="C8" i="1"/>
  <c r="N7" i="1"/>
  <c r="M7" i="1"/>
  <c r="J7" i="1"/>
  <c r="G7" i="1"/>
  <c r="F7" i="1"/>
  <c r="C7" i="1"/>
  <c r="M58" i="1" l="1"/>
  <c r="C58" i="1"/>
  <c r="N58" i="1"/>
  <c r="G58" i="1"/>
  <c r="J58" i="1"/>
  <c r="C57" i="1"/>
  <c r="F57" i="1"/>
  <c r="N57" i="1"/>
  <c r="G57" i="1"/>
  <c r="J57" i="1"/>
  <c r="M57" i="1"/>
  <c r="F58" i="1"/>
</calcChain>
</file>

<file path=xl/sharedStrings.xml><?xml version="1.0" encoding="utf-8"?>
<sst xmlns="http://schemas.openxmlformats.org/spreadsheetml/2006/main" count="435" uniqueCount="112">
  <si>
    <t># Mosquitos</t>
  </si>
  <si>
    <t>Wing Length (mm)</t>
  </si>
  <si>
    <t xml:space="preserve"># Mosquitos </t>
  </si>
  <si>
    <t>Average</t>
  </si>
  <si>
    <t>STDEV</t>
  </si>
  <si>
    <t>Engorment per female</t>
  </si>
  <si>
    <t>Mean</t>
  </si>
  <si>
    <t>Day</t>
  </si>
  <si>
    <t xml:space="preserve">Treaments </t>
  </si>
  <si>
    <t>R1</t>
  </si>
  <si>
    <t>R2</t>
  </si>
  <si>
    <t>R3</t>
  </si>
  <si>
    <t>R4</t>
  </si>
  <si>
    <t>Large 1</t>
  </si>
  <si>
    <t>Small 1</t>
  </si>
  <si>
    <t>Large 2</t>
  </si>
  <si>
    <t>Small 2</t>
  </si>
  <si>
    <t>Large 3</t>
  </si>
  <si>
    <t xml:space="preserve">Small 3 </t>
  </si>
  <si>
    <t>Large 4</t>
  </si>
  <si>
    <t>Small 4</t>
  </si>
  <si>
    <t>Large 5</t>
  </si>
  <si>
    <t>Small 5</t>
  </si>
  <si>
    <t>Large 6</t>
  </si>
  <si>
    <t>Small 6</t>
  </si>
  <si>
    <t>Large 7</t>
  </si>
  <si>
    <t>Small 7</t>
  </si>
  <si>
    <t>Large 8</t>
  </si>
  <si>
    <t>Small 8</t>
  </si>
  <si>
    <t>Large  9</t>
  </si>
  <si>
    <t>Small 9</t>
  </si>
  <si>
    <t>Large 10</t>
  </si>
  <si>
    <t>Small 10</t>
  </si>
  <si>
    <t>Large 11</t>
  </si>
  <si>
    <t>Small 11</t>
  </si>
  <si>
    <t>Large 12</t>
  </si>
  <si>
    <t>Small 12</t>
  </si>
  <si>
    <t>Large 13</t>
  </si>
  <si>
    <t>Small 13</t>
  </si>
  <si>
    <t>Large 14</t>
  </si>
  <si>
    <t>Small 14</t>
  </si>
  <si>
    <t xml:space="preserve">Day </t>
  </si>
  <si>
    <t xml:space="preserve">Cage 1 </t>
  </si>
  <si>
    <t xml:space="preserve">Cage 2 </t>
  </si>
  <si>
    <t>Cage 3</t>
  </si>
  <si>
    <t xml:space="preserve">Cage4 </t>
  </si>
  <si>
    <t>Time elapsed (in minutes)</t>
  </si>
  <si>
    <t>Repeats</t>
  </si>
  <si>
    <t>Groups</t>
  </si>
  <si>
    <t>Total</t>
  </si>
  <si>
    <t>Small UGAL-C</t>
  </si>
  <si>
    <t>Small UGAL-P</t>
  </si>
  <si>
    <t>Large UGAL-C</t>
  </si>
  <si>
    <t>Large UGAL-P</t>
  </si>
  <si>
    <t>Small PUERTO RICO-C</t>
  </si>
  <si>
    <t>Small PUERTO RICO-P</t>
  </si>
  <si>
    <t>Large PUERTO RICO-C</t>
  </si>
  <si>
    <t>Large PUERTO RICO-P</t>
  </si>
  <si>
    <t>Treatment Groups</t>
  </si>
  <si>
    <t>Mean mortality (%)</t>
  </si>
  <si>
    <t>Hours elapsed (in Hrs)</t>
  </si>
  <si>
    <t>CUMULATIVE (Large UGAL Females)</t>
  </si>
  <si>
    <t>% Acc R1</t>
  </si>
  <si>
    <t>%Acc R2</t>
  </si>
  <si>
    <t>%Acc R3</t>
  </si>
  <si>
    <t>%AccR4</t>
  </si>
  <si>
    <t>CUMULATIVE (small UGAL Females)</t>
  </si>
  <si>
    <t>%Acc R1</t>
  </si>
  <si>
    <t>%Acc R4</t>
  </si>
  <si>
    <t>Large UGAL Females( 4 Biological Repeats)</t>
  </si>
  <si>
    <t>total daily activity has occurred</t>
  </si>
  <si>
    <t>sum n=20</t>
  </si>
  <si>
    <t>sum n=1</t>
  </si>
  <si>
    <t>For cumulative Flight activity calculation</t>
  </si>
  <si>
    <t>large UGAL Females</t>
  </si>
  <si>
    <t>Small UGAL Females</t>
  </si>
  <si>
    <t>Hours Elapsed (in Hrs)</t>
  </si>
  <si>
    <t>Small UGAL Females (4 biological repeats)</t>
  </si>
  <si>
    <t>For % Accumulation of Flight Activity</t>
  </si>
  <si>
    <t>sum n=15</t>
  </si>
  <si>
    <t>Large UGAL Females</t>
  </si>
  <si>
    <t>time (in hrs)</t>
  </si>
  <si>
    <t>Time (in hrs)</t>
  </si>
  <si>
    <t>Large UGAL Males( 4 Biological Repeats)</t>
  </si>
  <si>
    <t>CUMULATIVE</t>
  </si>
  <si>
    <t>large UGAL males</t>
  </si>
  <si>
    <t>Small UGAL males</t>
  </si>
  <si>
    <t>Small UGAL Males (4 biological repeats)</t>
  </si>
  <si>
    <t>CUMULATIVE sum</t>
  </si>
  <si>
    <t>Large UGAL males</t>
  </si>
  <si>
    <t>Short Description</t>
  </si>
  <si>
    <t>Mortality( in %)</t>
  </si>
  <si>
    <t>Mortality Time(min)</t>
  </si>
  <si>
    <t>This raw data file for Figure 4 shows the number of dead mosquitoes after the bottle assay.</t>
  </si>
  <si>
    <r>
      <t xml:space="preserve">Bottle assay was done using permethrin resistant </t>
    </r>
    <r>
      <rPr>
        <i/>
        <sz val="11"/>
        <color theme="1"/>
        <rFont val="Calibri"/>
        <family val="2"/>
        <scheme val="minor"/>
      </rPr>
      <t>Ae. aegypti</t>
    </r>
    <r>
      <rPr>
        <sz val="11"/>
        <color theme="1"/>
        <rFont val="Calibri"/>
        <family val="2"/>
        <scheme val="minor"/>
      </rPr>
      <t xml:space="preserve"> PUERTO RICO strain and permethrin susceptible </t>
    </r>
    <r>
      <rPr>
        <i/>
        <sz val="11"/>
        <color theme="1"/>
        <rFont val="Calibri"/>
        <family val="2"/>
        <scheme val="minor"/>
      </rPr>
      <t>Ae. aegypti</t>
    </r>
    <r>
      <rPr>
        <sz val="11"/>
        <color theme="1"/>
        <rFont val="Calibri"/>
        <family val="2"/>
        <scheme val="minor"/>
      </rPr>
      <t xml:space="preserve"> UGAL strain. Both large and small female mosquitoes from each strain were used. There were four control groups (Denoted with the letter C, such as, Small UGAL-C) and four treatment group (Denoted with the letter P, such as, Small UGAL-P) each with four replicates (R1, R2, R3 &amp; R4). Throughout this raw data file 'C' refers to Aceton treated large size control group female mosquitoes and 'P' refers to the Permethrin treated small size experimental group.</t>
    </r>
  </si>
  <si>
    <t>The raw data file for Figure 3 shows the number of engorged females per day post-blood meals. A total of four replicates were done, where N=25 female mosquitoes.</t>
  </si>
  <si>
    <t>The raw data file for Figure 1 shows the mean wing length and body weight for both standard-size large feamle  mosquitoes and experimental group small female mosquitoes. A total of four replicates were done, where N=50 female mosquitoes per group.</t>
  </si>
  <si>
    <t>Mass (Wet) in mg</t>
  </si>
  <si>
    <t>Mass (Dry) in mg</t>
  </si>
  <si>
    <t xml:space="preserve">Mass (Dry) in mg </t>
  </si>
  <si>
    <t xml:space="preserve"> 50 Small Female Mosquitos </t>
  </si>
  <si>
    <t xml:space="preserve">50 Large Female  Mosquitos </t>
  </si>
  <si>
    <t>Short Discription</t>
  </si>
  <si>
    <t xml:space="preserve">Cummulative Engorments per Female - Small Female  Mosquitos </t>
  </si>
  <si>
    <t xml:space="preserve">Cummulative Engorments per Female - Large Female Mosquitos </t>
  </si>
  <si>
    <t>Here, R1, R2, R3 &amp; R4 represent the four replicates. The supplementary video was analyzed for multiple feedings, and the number of engorged females per day was recorded for two weeks. Large female mosquitoes were denoted as' Large#' and small female mosquitoes were denoted as 'Small#'.</t>
  </si>
  <si>
    <t>SUM</t>
  </si>
  <si>
    <t>SHORT DISCRIPTION</t>
  </si>
  <si>
    <t>Twenty-four hour distribution of mosquito flight activity measured by infrared beam breaks under LD cycle conditions at an hour resolution.</t>
  </si>
  <si>
    <r>
      <t xml:space="preserve">Analysis of the accumulation of flight activity over 24 hours reveals differences in flight activity patterns in large-sized and small-sized </t>
    </r>
    <r>
      <rPr>
        <b/>
        <i/>
        <sz val="11"/>
        <color theme="1"/>
        <rFont val="Aptos"/>
        <family val="2"/>
      </rPr>
      <t>Ae. aegypti</t>
    </r>
    <r>
      <rPr>
        <b/>
        <sz val="11"/>
        <color theme="1"/>
        <rFont val="Aptos"/>
        <family val="2"/>
      </rPr>
      <t xml:space="preserve"> mosquitoes.</t>
    </r>
  </si>
  <si>
    <t>Analysis of the accumulation of flight activity over 24 hours reveals differences in flight activity patterns in large-sized and small-sized Ae. aegypti mosquitoes.Light dark cycle at which each mosquito group reached 25%, 50%, 75%, and 100% accumulation of total flight activity</t>
  </si>
  <si>
    <t>Analysis of the accumulation of flight activity over 24 hours reveals differences in flight activity patterns in large-sized and small-sized Ae. aegypti mosquitoes.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</si>
</sst>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9" x14ac:knownFonts="1">
    <font>
      <sz val="11"/>
      <color theme="1"/>
      <name val="Calibri"/>
      <family val="2"/>
      <scheme val="minor"/>
    </font>
    <font>
      <b/>
      <sz val="11"/>
      <color theme="1"/>
      <name val="Calibri"/>
      <family val="2"/>
      <scheme val="minor"/>
    </font>
    <font>
      <b/>
      <sz val="12"/>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i/>
      <sz val="11"/>
      <color theme="1"/>
      <name val="Calibri"/>
      <family val="2"/>
      <scheme val="minor"/>
    </font>
    <font>
      <b/>
      <sz val="11"/>
      <color theme="1"/>
      <name val="Aptos"/>
      <family val="2"/>
    </font>
    <font>
      <b/>
      <i/>
      <sz val="11"/>
      <color theme="1"/>
      <name val="Aptos"/>
      <family val="2"/>
    </font>
  </fonts>
  <fills count="15">
    <fill>
      <patternFill patternType="none"/>
    </fill>
    <fill>
      <patternFill patternType="gray125"/>
    </fill>
    <fill>
      <patternFill patternType="solid">
        <fgColor theme="9" tint="0.59999389629810485"/>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rgb="FFFF66CC"/>
        <bgColor indexed="64"/>
      </patternFill>
    </fill>
    <fill>
      <patternFill patternType="solid">
        <fgColor theme="0" tint="-0.249977111117893"/>
        <bgColor indexed="64"/>
      </patternFill>
    </fill>
    <fill>
      <patternFill patternType="solid">
        <fgColor theme="7" tint="-0.249977111117893"/>
        <bgColor indexed="64"/>
      </patternFill>
    </fill>
    <fill>
      <patternFill patternType="solid">
        <fgColor theme="3" tint="0.39997558519241921"/>
        <bgColor indexed="64"/>
      </patternFill>
    </fill>
    <fill>
      <patternFill patternType="solid">
        <fgColor rgb="FF92D050"/>
        <bgColor indexed="64"/>
      </patternFill>
    </fill>
    <fill>
      <patternFill patternType="solid">
        <fgColor theme="7"/>
        <bgColor indexed="64"/>
      </patternFill>
    </fill>
    <fill>
      <patternFill patternType="solid">
        <fgColor theme="9"/>
        <bgColor indexed="64"/>
      </patternFill>
    </fill>
    <fill>
      <patternFill patternType="solid">
        <fgColor rgb="FF00B0F0"/>
        <bgColor indexed="64"/>
      </patternFill>
    </fill>
    <fill>
      <patternFill patternType="solid">
        <fgColor rgb="FFBA36A7"/>
        <bgColor indexed="64"/>
      </patternFill>
    </fill>
    <fill>
      <patternFill patternType="solid">
        <fgColor theme="5" tint="0.39997558519241921"/>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auto="1"/>
      </top>
      <bottom style="thin">
        <color auto="1"/>
      </bottom>
      <diagonal/>
    </border>
  </borders>
  <cellStyleXfs count="1">
    <xf numFmtId="0" fontId="0" fillId="0" borderId="0"/>
  </cellStyleXfs>
  <cellXfs count="91">
    <xf numFmtId="0" fontId="0" fillId="0" borderId="0" xfId="0"/>
    <xf numFmtId="0" fontId="2" fillId="0" borderId="1" xfId="0" applyFont="1" applyBorder="1"/>
    <xf numFmtId="0" fontId="0" fillId="0" borderId="1" xfId="0" applyBorder="1"/>
    <xf numFmtId="164" fontId="0" fillId="0" borderId="1" xfId="0" applyNumberFormat="1" applyBorder="1"/>
    <xf numFmtId="1" fontId="0" fillId="0" borderId="1" xfId="0" applyNumberFormat="1" applyBorder="1"/>
    <xf numFmtId="0" fontId="1" fillId="0" borderId="0" xfId="0" applyFont="1"/>
    <xf numFmtId="164" fontId="2" fillId="0" borderId="1" xfId="0" applyNumberFormat="1" applyFont="1" applyBorder="1"/>
    <xf numFmtId="0" fontId="1" fillId="0" borderId="1" xfId="0" applyFont="1" applyBorder="1"/>
    <xf numFmtId="0" fontId="0" fillId="0" borderId="0" xfId="0" applyAlignment="1">
      <alignment horizontal="right"/>
    </xf>
    <xf numFmtId="0" fontId="1" fillId="0" borderId="0" xfId="0" applyFont="1" applyAlignment="1">
      <alignment horizontal="right"/>
    </xf>
    <xf numFmtId="0" fontId="1" fillId="0" borderId="1" xfId="0" applyFont="1" applyBorder="1" applyAlignment="1">
      <alignment horizontal="right"/>
    </xf>
    <xf numFmtId="0" fontId="0" fillId="0" borderId="1" xfId="0" applyBorder="1" applyAlignment="1">
      <alignment horizontal="right"/>
    </xf>
    <xf numFmtId="2" fontId="0" fillId="0" borderId="1" xfId="0" applyNumberFormat="1" applyBorder="1" applyAlignment="1">
      <alignment horizontal="right"/>
    </xf>
    <xf numFmtId="2" fontId="1" fillId="0" borderId="1" xfId="0" applyNumberFormat="1" applyFont="1" applyBorder="1" applyAlignment="1">
      <alignment horizontal="right"/>
    </xf>
    <xf numFmtId="2" fontId="0" fillId="0" borderId="1" xfId="0" applyNumberFormat="1" applyBorder="1"/>
    <xf numFmtId="2" fontId="0" fillId="0" borderId="0" xfId="0" applyNumberFormat="1"/>
    <xf numFmtId="0" fontId="3" fillId="0" borderId="4" xfId="0" applyFont="1" applyBorder="1"/>
    <xf numFmtId="0" fontId="0" fillId="2" borderId="1" xfId="0" applyFill="1" applyBorder="1"/>
    <xf numFmtId="0" fontId="0" fillId="2" borderId="3" xfId="0" applyFill="1" applyBorder="1"/>
    <xf numFmtId="0" fontId="0" fillId="3" borderId="1" xfId="0" applyFill="1" applyBorder="1"/>
    <xf numFmtId="0" fontId="0" fillId="3" borderId="3" xfId="0" applyFill="1" applyBorder="1"/>
    <xf numFmtId="0" fontId="0" fillId="4" borderId="1" xfId="0" applyFill="1" applyBorder="1"/>
    <xf numFmtId="0" fontId="0" fillId="4" borderId="3" xfId="0" applyFill="1" applyBorder="1"/>
    <xf numFmtId="0" fontId="0" fillId="5" borderId="1" xfId="0" applyFill="1" applyBorder="1"/>
    <xf numFmtId="0" fontId="0" fillId="5" borderId="3" xfId="0" applyFill="1" applyBorder="1"/>
    <xf numFmtId="0" fontId="0" fillId="6" borderId="1" xfId="0" applyFill="1" applyBorder="1"/>
    <xf numFmtId="0" fontId="0" fillId="6" borderId="3" xfId="0" applyFill="1" applyBorder="1"/>
    <xf numFmtId="0" fontId="0" fillId="7" borderId="1" xfId="0" applyFill="1" applyBorder="1"/>
    <xf numFmtId="0" fontId="0" fillId="7" borderId="3" xfId="0" applyFill="1" applyBorder="1"/>
    <xf numFmtId="0" fontId="0" fillId="8" borderId="1" xfId="0" applyFill="1" applyBorder="1"/>
    <xf numFmtId="0" fontId="0" fillId="8" borderId="3" xfId="0" applyFill="1" applyBorder="1"/>
    <xf numFmtId="0" fontId="0" fillId="9" borderId="1" xfId="0" applyFill="1" applyBorder="1"/>
    <xf numFmtId="0" fontId="0" fillId="9" borderId="3" xfId="0" applyFill="1" applyBorder="1"/>
    <xf numFmtId="0" fontId="0" fillId="9" borderId="5" xfId="0" applyFill="1" applyBorder="1"/>
    <xf numFmtId="0" fontId="3" fillId="0" borderId="1" xfId="0" applyFont="1" applyBorder="1"/>
    <xf numFmtId="0" fontId="0" fillId="10" borderId="0" xfId="0" applyFill="1"/>
    <xf numFmtId="0" fontId="0" fillId="11" borderId="0" xfId="0" applyFill="1"/>
    <xf numFmtId="0" fontId="0" fillId="12" borderId="0" xfId="0" applyFill="1"/>
    <xf numFmtId="0" fontId="0" fillId="13" borderId="0" xfId="0" applyFill="1"/>
    <xf numFmtId="0" fontId="0" fillId="0" borderId="1" xfId="0" applyBorder="1" applyAlignment="1">
      <alignment wrapText="1"/>
    </xf>
    <xf numFmtId="0" fontId="0" fillId="0" borderId="0" xfId="0" applyAlignment="1">
      <alignment wrapText="1"/>
    </xf>
    <xf numFmtId="9" fontId="0" fillId="10" borderId="1" xfId="0" applyNumberFormat="1" applyFill="1" applyBorder="1"/>
    <xf numFmtId="9" fontId="0" fillId="11" borderId="1" xfId="0" applyNumberFormat="1" applyFill="1" applyBorder="1"/>
    <xf numFmtId="9" fontId="0" fillId="12" borderId="1" xfId="0" applyNumberFormat="1" applyFill="1" applyBorder="1"/>
    <xf numFmtId="9" fontId="0" fillId="13" borderId="1" xfId="0" applyNumberFormat="1" applyFill="1" applyBorder="1"/>
    <xf numFmtId="0" fontId="0" fillId="0" borderId="6" xfId="0" applyBorder="1"/>
    <xf numFmtId="9" fontId="1" fillId="0" borderId="6" xfId="0" applyNumberFormat="1" applyFont="1" applyBorder="1"/>
    <xf numFmtId="0" fontId="1" fillId="0" borderId="6" xfId="0" applyFont="1" applyBorder="1"/>
    <xf numFmtId="0" fontId="0" fillId="0" borderId="5" xfId="0" applyBorder="1"/>
    <xf numFmtId="0" fontId="5" fillId="0" borderId="1" xfId="0" applyFont="1" applyBorder="1"/>
    <xf numFmtId="0" fontId="0" fillId="0" borderId="0" xfId="0" applyAlignment="1">
      <alignment vertical="center" wrapText="1"/>
    </xf>
    <xf numFmtId="0" fontId="0" fillId="0" borderId="1" xfId="0" applyBorder="1" applyAlignment="1">
      <alignment horizontal="center" vertical="center"/>
    </xf>
    <xf numFmtId="0" fontId="3" fillId="0" borderId="1" xfId="0" applyFont="1" applyBorder="1" applyAlignment="1">
      <alignment horizontal="center" wrapText="1"/>
    </xf>
    <xf numFmtId="0" fontId="1" fillId="0" borderId="1" xfId="0" applyFont="1" applyBorder="1" applyAlignment="1">
      <alignment wrapText="1"/>
    </xf>
    <xf numFmtId="0" fontId="1" fillId="0" borderId="1" xfId="0" applyFont="1" applyBorder="1" applyAlignment="1">
      <alignment wrapText="1"/>
    </xf>
    <xf numFmtId="0" fontId="1" fillId="0" borderId="1" xfId="0" applyFont="1" applyBorder="1" applyAlignment="1">
      <alignment horizontal="center"/>
    </xf>
    <xf numFmtId="0" fontId="0" fillId="0" borderId="1" xfId="0" applyBorder="1" applyAlignment="1">
      <alignment horizontal="center"/>
    </xf>
    <xf numFmtId="0" fontId="0" fillId="0" borderId="1" xfId="0" applyBorder="1" applyAlignment="1">
      <alignment horizontal="center" wrapText="1"/>
    </xf>
    <xf numFmtId="0" fontId="1" fillId="0" borderId="1" xfId="0" applyFont="1" applyBorder="1" applyAlignment="1">
      <alignment horizontal="center" wrapText="1"/>
    </xf>
    <xf numFmtId="0" fontId="0" fillId="0" borderId="1" xfId="0" applyBorder="1" applyAlignment="1">
      <alignment horizontal="center" vertical="center" wrapText="1"/>
    </xf>
    <xf numFmtId="0" fontId="1" fillId="0" borderId="0" xfId="0" applyFont="1" applyAlignment="1">
      <alignment horizontal="center"/>
    </xf>
    <xf numFmtId="0" fontId="0" fillId="0" borderId="0" xfId="0" applyAlignment="1">
      <alignment horizontal="center"/>
    </xf>
    <xf numFmtId="0" fontId="1" fillId="0" borderId="1" xfId="0" applyFont="1" applyBorder="1" applyAlignment="1">
      <alignment horizontal="center" vertical="center" wrapText="1"/>
    </xf>
    <xf numFmtId="0" fontId="4" fillId="0" borderId="1" xfId="0" applyFont="1" applyBorder="1" applyAlignment="1">
      <alignment horizontal="center"/>
    </xf>
    <xf numFmtId="0" fontId="1" fillId="0" borderId="1" xfId="0" applyFont="1" applyBorder="1" applyAlignment="1">
      <alignment horizontal="left" vertical="center" wrapText="1"/>
    </xf>
    <xf numFmtId="0" fontId="1" fillId="0" borderId="2" xfId="0" applyFont="1" applyBorder="1" applyAlignment="1">
      <alignment horizontal="right"/>
    </xf>
    <xf numFmtId="0" fontId="1" fillId="0" borderId="3" xfId="0" applyFont="1" applyBorder="1" applyAlignment="1">
      <alignment horizontal="right"/>
    </xf>
    <xf numFmtId="0" fontId="1" fillId="0" borderId="1" xfId="0" applyFont="1" applyBorder="1" applyAlignment="1">
      <alignment horizontal="center" vertical="center"/>
    </xf>
    <xf numFmtId="0" fontId="0" fillId="0" borderId="1" xfId="0" applyBorder="1" applyAlignment="1">
      <alignment horizontal="right" wrapText="1"/>
    </xf>
    <xf numFmtId="0" fontId="1" fillId="0" borderId="1" xfId="0" applyFont="1" applyBorder="1" applyAlignment="1">
      <alignment horizontal="right" vertical="center" wrapText="1"/>
    </xf>
    <xf numFmtId="0" fontId="1" fillId="0" borderId="1" xfId="0" applyFont="1" applyBorder="1" applyAlignment="1">
      <alignment vertical="center" wrapText="1"/>
    </xf>
    <xf numFmtId="0" fontId="0" fillId="0" borderId="1" xfId="0" applyBorder="1" applyAlignment="1">
      <alignment vertical="center" wrapText="1"/>
    </xf>
    <xf numFmtId="0" fontId="2" fillId="4" borderId="1" xfId="0" applyFont="1" applyFill="1" applyBorder="1" applyAlignment="1">
      <alignment horizontal="center"/>
    </xf>
    <xf numFmtId="0" fontId="2" fillId="14" borderId="1" xfId="0" applyFont="1" applyFill="1" applyBorder="1" applyAlignment="1">
      <alignment horizontal="center"/>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0" fillId="0" borderId="1" xfId="0" applyBorder="1" applyAlignment="1">
      <alignment horizontal="left" vertical="center" wrapText="1"/>
    </xf>
    <xf numFmtId="0" fontId="0" fillId="0" borderId="0" xfId="0" applyAlignment="1"/>
    <xf numFmtId="0" fontId="0" fillId="0" borderId="2" xfId="0" applyBorder="1" applyAlignment="1">
      <alignment horizontal="center"/>
    </xf>
    <xf numFmtId="0" fontId="0" fillId="0" borderId="7" xfId="0" applyBorder="1" applyAlignment="1">
      <alignment horizontal="center"/>
    </xf>
    <xf numFmtId="0" fontId="0" fillId="0" borderId="3" xfId="0" applyBorder="1" applyAlignment="1">
      <alignment horizontal="center"/>
    </xf>
    <xf numFmtId="0" fontId="0" fillId="0" borderId="3" xfId="0" applyBorder="1" applyAlignment="1"/>
    <xf numFmtId="0" fontId="0" fillId="10" borderId="1" xfId="0" applyFill="1" applyBorder="1"/>
    <xf numFmtId="0" fontId="0" fillId="11" borderId="1" xfId="0" applyFill="1" applyBorder="1"/>
    <xf numFmtId="0" fontId="0" fillId="12" borderId="1" xfId="0" applyFill="1" applyBorder="1"/>
    <xf numFmtId="0" fontId="0" fillId="13" borderId="1" xfId="0" applyFill="1" applyBorder="1"/>
    <xf numFmtId="0" fontId="0" fillId="0" borderId="6" xfId="0" applyBorder="1" applyAlignment="1">
      <alignment horizontal="center" wrapText="1"/>
    </xf>
    <xf numFmtId="0" fontId="0" fillId="0" borderId="0" xfId="0" applyBorder="1"/>
    <xf numFmtId="0" fontId="7" fillId="0" borderId="1" xfId="0" applyFont="1" applyBorder="1" applyAlignment="1">
      <alignment horizontal="left" vertical="center"/>
    </xf>
    <xf numFmtId="0" fontId="7" fillId="0" borderId="1" xfId="0" applyFont="1" applyBorder="1" applyAlignment="1">
      <alignment horizontal="center" vertical="center" wrapText="1"/>
    </xf>
    <xf numFmtId="0" fontId="1" fillId="0" borderId="1"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Cumulative flight activity of Large UGAL Females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[1]cumulative_female!$AC$5</c:f>
              <c:strCache>
                <c:ptCount val="1"/>
                <c:pt idx="0">
                  <c:v>R1</c:v>
                </c:pt>
              </c:strCache>
            </c:strRef>
          </c:tx>
          <c:spPr>
            <a:ln w="28575" cap="rnd">
              <a:solidFill>
                <a:schemeClr val="accent1"/>
              </a:solidFill>
              <a:round/>
            </a:ln>
            <a:effectLst/>
          </c:spPr>
          <c:marker>
            <c:symbol val="none"/>
          </c:marker>
          <c:val>
            <c:numRef>
              <c:f>[1]cumulative_female!$AC$6:$AC$30</c:f>
              <c:numCache>
                <c:formatCode>General</c:formatCode>
                <c:ptCount val="25"/>
                <c:pt idx="0">
                  <c:v>0.05</c:v>
                </c:pt>
                <c:pt idx="1">
                  <c:v>9.1000000000000014</c:v>
                </c:pt>
                <c:pt idx="2">
                  <c:v>18.950000000000003</c:v>
                </c:pt>
                <c:pt idx="3">
                  <c:v>22.35</c:v>
                </c:pt>
                <c:pt idx="4">
                  <c:v>50.1</c:v>
                </c:pt>
                <c:pt idx="5">
                  <c:v>64.900000000000006</c:v>
                </c:pt>
                <c:pt idx="6">
                  <c:v>68.800000000000011</c:v>
                </c:pt>
                <c:pt idx="7">
                  <c:v>80.700000000000017</c:v>
                </c:pt>
                <c:pt idx="8">
                  <c:v>112.05000000000001</c:v>
                </c:pt>
                <c:pt idx="9">
                  <c:v>122.80000000000001</c:v>
                </c:pt>
                <c:pt idx="10">
                  <c:v>126.35000000000001</c:v>
                </c:pt>
                <c:pt idx="11">
                  <c:v>156.25</c:v>
                </c:pt>
                <c:pt idx="12">
                  <c:v>172.45</c:v>
                </c:pt>
                <c:pt idx="13">
                  <c:v>172.79999999999998</c:v>
                </c:pt>
                <c:pt idx="14">
                  <c:v>181.14999999999998</c:v>
                </c:pt>
                <c:pt idx="15">
                  <c:v>201.2</c:v>
                </c:pt>
                <c:pt idx="16">
                  <c:v>211</c:v>
                </c:pt>
                <c:pt idx="17">
                  <c:v>212.05</c:v>
                </c:pt>
                <c:pt idx="18">
                  <c:v>213.65</c:v>
                </c:pt>
                <c:pt idx="19">
                  <c:v>214.85</c:v>
                </c:pt>
                <c:pt idx="20">
                  <c:v>214.95</c:v>
                </c:pt>
                <c:pt idx="21">
                  <c:v>232.89999999999998</c:v>
                </c:pt>
                <c:pt idx="22">
                  <c:v>247.99999999999997</c:v>
                </c:pt>
                <c:pt idx="23">
                  <c:v>259.84999999999997</c:v>
                </c:pt>
                <c:pt idx="24">
                  <c:v>270.04999999999995</c:v>
                </c:pt>
              </c:numCache>
            </c:numRef>
          </c:val>
          <c:smooth val="0"/>
          <c:extLst>
            <c:ext xmlns:c16="http://schemas.microsoft.com/office/drawing/2014/chart" uri="{C3380CC4-5D6E-409C-BE32-E72D297353CC}">
              <c16:uniqueId val="{00000000-B3EC-468E-A36F-46B942F40831}"/>
            </c:ext>
          </c:extLst>
        </c:ser>
        <c:ser>
          <c:idx val="1"/>
          <c:order val="1"/>
          <c:tx>
            <c:strRef>
              <c:f>[1]cumulative_female!$AE$5</c:f>
              <c:strCache>
                <c:ptCount val="1"/>
                <c:pt idx="0">
                  <c:v>R2</c:v>
                </c:pt>
              </c:strCache>
            </c:strRef>
          </c:tx>
          <c:spPr>
            <a:ln w="28575" cap="rnd">
              <a:solidFill>
                <a:schemeClr val="accent2"/>
              </a:solidFill>
              <a:round/>
            </a:ln>
            <a:effectLst/>
          </c:spPr>
          <c:marker>
            <c:symbol val="none"/>
          </c:marker>
          <c:val>
            <c:numRef>
              <c:f>[1]cumulative_female!$AE$6:$AE$30</c:f>
              <c:numCache>
                <c:formatCode>General</c:formatCode>
                <c:ptCount val="25"/>
                <c:pt idx="0">
                  <c:v>0</c:v>
                </c:pt>
                <c:pt idx="1">
                  <c:v>8.6</c:v>
                </c:pt>
                <c:pt idx="2">
                  <c:v>18.049999999999997</c:v>
                </c:pt>
                <c:pt idx="3">
                  <c:v>24.849999999999998</c:v>
                </c:pt>
                <c:pt idx="4">
                  <c:v>39.199999999999996</c:v>
                </c:pt>
                <c:pt idx="5">
                  <c:v>42.65</c:v>
                </c:pt>
                <c:pt idx="6">
                  <c:v>45.85</c:v>
                </c:pt>
                <c:pt idx="7">
                  <c:v>47.5</c:v>
                </c:pt>
                <c:pt idx="8">
                  <c:v>69.849999999999994</c:v>
                </c:pt>
                <c:pt idx="9">
                  <c:v>70.149999999999991</c:v>
                </c:pt>
                <c:pt idx="10">
                  <c:v>79.499999999999986</c:v>
                </c:pt>
                <c:pt idx="11">
                  <c:v>86.249999999999986</c:v>
                </c:pt>
                <c:pt idx="12">
                  <c:v>86.299999999999983</c:v>
                </c:pt>
                <c:pt idx="13">
                  <c:v>86.299999999999983</c:v>
                </c:pt>
                <c:pt idx="14">
                  <c:v>90.949999999999989</c:v>
                </c:pt>
                <c:pt idx="15">
                  <c:v>90.949999999999989</c:v>
                </c:pt>
                <c:pt idx="16">
                  <c:v>102.6</c:v>
                </c:pt>
                <c:pt idx="17">
                  <c:v>103.6</c:v>
                </c:pt>
                <c:pt idx="18">
                  <c:v>104.19999999999999</c:v>
                </c:pt>
                <c:pt idx="19">
                  <c:v>104.44999999999999</c:v>
                </c:pt>
                <c:pt idx="20">
                  <c:v>104.54999999999998</c:v>
                </c:pt>
                <c:pt idx="21">
                  <c:v>104.64999999999998</c:v>
                </c:pt>
                <c:pt idx="22">
                  <c:v>123.39999999999998</c:v>
                </c:pt>
                <c:pt idx="23">
                  <c:v>127.19999999999997</c:v>
                </c:pt>
                <c:pt idx="24">
                  <c:v>136.44999999999999</c:v>
                </c:pt>
              </c:numCache>
            </c:numRef>
          </c:val>
          <c:smooth val="0"/>
          <c:extLst>
            <c:ext xmlns:c16="http://schemas.microsoft.com/office/drawing/2014/chart" uri="{C3380CC4-5D6E-409C-BE32-E72D297353CC}">
              <c16:uniqueId val="{00000001-B3EC-468E-A36F-46B942F40831}"/>
            </c:ext>
          </c:extLst>
        </c:ser>
        <c:ser>
          <c:idx val="2"/>
          <c:order val="2"/>
          <c:tx>
            <c:strRef>
              <c:f>[1]cumulative_female!$AG$5</c:f>
              <c:strCache>
                <c:ptCount val="1"/>
                <c:pt idx="0">
                  <c:v>R3</c:v>
                </c:pt>
              </c:strCache>
            </c:strRef>
          </c:tx>
          <c:spPr>
            <a:ln w="28575" cap="rnd">
              <a:solidFill>
                <a:schemeClr val="accent3"/>
              </a:solidFill>
              <a:round/>
            </a:ln>
            <a:effectLst/>
          </c:spPr>
          <c:marker>
            <c:symbol val="none"/>
          </c:marker>
          <c:val>
            <c:numRef>
              <c:f>[1]cumulative_female!$AG$6:$AG$30</c:f>
              <c:numCache>
                <c:formatCode>General</c:formatCode>
                <c:ptCount val="25"/>
                <c:pt idx="0">
                  <c:v>0</c:v>
                </c:pt>
                <c:pt idx="1">
                  <c:v>1.65</c:v>
                </c:pt>
                <c:pt idx="2">
                  <c:v>2.5</c:v>
                </c:pt>
                <c:pt idx="3">
                  <c:v>6.6</c:v>
                </c:pt>
                <c:pt idx="4">
                  <c:v>20.45</c:v>
                </c:pt>
                <c:pt idx="5">
                  <c:v>25.549999999999997</c:v>
                </c:pt>
                <c:pt idx="6">
                  <c:v>28.4</c:v>
                </c:pt>
                <c:pt idx="7">
                  <c:v>32.4</c:v>
                </c:pt>
                <c:pt idx="8">
                  <c:v>44.8</c:v>
                </c:pt>
                <c:pt idx="9">
                  <c:v>51.449999999999996</c:v>
                </c:pt>
                <c:pt idx="10">
                  <c:v>51.999999999999993</c:v>
                </c:pt>
                <c:pt idx="11">
                  <c:v>77.05</c:v>
                </c:pt>
                <c:pt idx="12">
                  <c:v>77.45</c:v>
                </c:pt>
                <c:pt idx="13">
                  <c:v>96.6</c:v>
                </c:pt>
                <c:pt idx="14">
                  <c:v>103.39999999999999</c:v>
                </c:pt>
                <c:pt idx="15">
                  <c:v>103.8</c:v>
                </c:pt>
                <c:pt idx="16">
                  <c:v>103.8</c:v>
                </c:pt>
                <c:pt idx="17">
                  <c:v>111.25</c:v>
                </c:pt>
                <c:pt idx="18">
                  <c:v>123.8</c:v>
                </c:pt>
                <c:pt idx="19">
                  <c:v>132.85</c:v>
                </c:pt>
                <c:pt idx="20">
                  <c:v>133.44999999999999</c:v>
                </c:pt>
                <c:pt idx="21">
                  <c:v>135.35</c:v>
                </c:pt>
                <c:pt idx="22">
                  <c:v>137.54999999999998</c:v>
                </c:pt>
                <c:pt idx="23">
                  <c:v>153.19999999999999</c:v>
                </c:pt>
                <c:pt idx="24">
                  <c:v>169.04999999999998</c:v>
                </c:pt>
              </c:numCache>
            </c:numRef>
          </c:val>
          <c:smooth val="0"/>
          <c:extLst>
            <c:ext xmlns:c16="http://schemas.microsoft.com/office/drawing/2014/chart" uri="{C3380CC4-5D6E-409C-BE32-E72D297353CC}">
              <c16:uniqueId val="{00000002-B3EC-468E-A36F-46B942F40831}"/>
            </c:ext>
          </c:extLst>
        </c:ser>
        <c:ser>
          <c:idx val="3"/>
          <c:order val="3"/>
          <c:tx>
            <c:strRef>
              <c:f>[1]cumulative_female!$AI$5</c:f>
              <c:strCache>
                <c:ptCount val="1"/>
                <c:pt idx="0">
                  <c:v>R4</c:v>
                </c:pt>
              </c:strCache>
            </c:strRef>
          </c:tx>
          <c:spPr>
            <a:ln w="28575" cap="rnd">
              <a:solidFill>
                <a:schemeClr val="accent4"/>
              </a:solidFill>
              <a:round/>
            </a:ln>
            <a:effectLst/>
          </c:spPr>
          <c:marker>
            <c:symbol val="none"/>
          </c:marker>
          <c:val>
            <c:numRef>
              <c:f>[1]cumulative_female!$AI$6:$AI$30</c:f>
              <c:numCache>
                <c:formatCode>General</c:formatCode>
                <c:ptCount val="25"/>
                <c:pt idx="0">
                  <c:v>0</c:v>
                </c:pt>
                <c:pt idx="1">
                  <c:v>30.35</c:v>
                </c:pt>
                <c:pt idx="2">
                  <c:v>42.6</c:v>
                </c:pt>
                <c:pt idx="3">
                  <c:v>48.050000000000004</c:v>
                </c:pt>
                <c:pt idx="4">
                  <c:v>66.95</c:v>
                </c:pt>
                <c:pt idx="5">
                  <c:v>72</c:v>
                </c:pt>
                <c:pt idx="6">
                  <c:v>77.95</c:v>
                </c:pt>
                <c:pt idx="7">
                  <c:v>86.05</c:v>
                </c:pt>
                <c:pt idx="8">
                  <c:v>90.6</c:v>
                </c:pt>
                <c:pt idx="9">
                  <c:v>100.55</c:v>
                </c:pt>
                <c:pt idx="10">
                  <c:v>115.55</c:v>
                </c:pt>
                <c:pt idx="11">
                  <c:v>125.14999999999999</c:v>
                </c:pt>
                <c:pt idx="12">
                  <c:v>146.94999999999999</c:v>
                </c:pt>
                <c:pt idx="13">
                  <c:v>152.54999999999998</c:v>
                </c:pt>
                <c:pt idx="14">
                  <c:v>152.54999999999998</c:v>
                </c:pt>
                <c:pt idx="15">
                  <c:v>159.19999999999999</c:v>
                </c:pt>
                <c:pt idx="16">
                  <c:v>162.6</c:v>
                </c:pt>
                <c:pt idx="17">
                  <c:v>163</c:v>
                </c:pt>
                <c:pt idx="18">
                  <c:v>163.35</c:v>
                </c:pt>
                <c:pt idx="19">
                  <c:v>166.2</c:v>
                </c:pt>
                <c:pt idx="20">
                  <c:v>167.14999999999998</c:v>
                </c:pt>
                <c:pt idx="21">
                  <c:v>179.7</c:v>
                </c:pt>
                <c:pt idx="22">
                  <c:v>182.7</c:v>
                </c:pt>
                <c:pt idx="23">
                  <c:v>187.79999999999998</c:v>
                </c:pt>
                <c:pt idx="24">
                  <c:v>213.04999999999998</c:v>
                </c:pt>
              </c:numCache>
            </c:numRef>
          </c:val>
          <c:smooth val="0"/>
          <c:extLst>
            <c:ext xmlns:c16="http://schemas.microsoft.com/office/drawing/2014/chart" uri="{C3380CC4-5D6E-409C-BE32-E72D297353CC}">
              <c16:uniqueId val="{00000003-B3EC-468E-A36F-46B942F40831}"/>
            </c:ext>
          </c:extLst>
        </c:ser>
        <c:dLbls>
          <c:showLegendKey val="0"/>
          <c:showVal val="0"/>
          <c:showCatName val="0"/>
          <c:showSerName val="0"/>
          <c:showPercent val="0"/>
          <c:showBubbleSize val="0"/>
        </c:dLbls>
        <c:smooth val="0"/>
        <c:axId val="663943392"/>
        <c:axId val="663937632"/>
      </c:lineChart>
      <c:catAx>
        <c:axId val="663943392"/>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3937632"/>
        <c:crosses val="autoZero"/>
        <c:auto val="1"/>
        <c:lblAlgn val="ctr"/>
        <c:lblOffset val="100"/>
        <c:noMultiLvlLbl val="0"/>
      </c:catAx>
      <c:valAx>
        <c:axId val="6639376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39433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Cumulative</a:t>
            </a:r>
            <a:r>
              <a:rPr lang="en-US" baseline="0"/>
              <a:t> flight activity of small UGAL Females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[1]cumulative_female!$AC$33:$AC$34</c:f>
              <c:strCache>
                <c:ptCount val="1"/>
                <c:pt idx="0">
                  <c:v>CUMULATIVE (small UGAL Females) R1</c:v>
                </c:pt>
              </c:strCache>
            </c:strRef>
          </c:tx>
          <c:spPr>
            <a:ln w="28575" cap="rnd">
              <a:solidFill>
                <a:schemeClr val="accent1"/>
              </a:solidFill>
              <a:round/>
            </a:ln>
            <a:effectLst/>
          </c:spPr>
          <c:marker>
            <c:symbol val="none"/>
          </c:marker>
          <c:val>
            <c:numRef>
              <c:f>[1]cumulative_female!$AC$35:$AC$59</c:f>
              <c:numCache>
                <c:formatCode>General</c:formatCode>
                <c:ptCount val="25"/>
                <c:pt idx="0">
                  <c:v>0</c:v>
                </c:pt>
                <c:pt idx="1">
                  <c:v>1.1499999999999999</c:v>
                </c:pt>
                <c:pt idx="2">
                  <c:v>2.0999999999999996</c:v>
                </c:pt>
                <c:pt idx="3">
                  <c:v>3.6999999999999997</c:v>
                </c:pt>
                <c:pt idx="4">
                  <c:v>14.2</c:v>
                </c:pt>
                <c:pt idx="5">
                  <c:v>15.35</c:v>
                </c:pt>
                <c:pt idx="6">
                  <c:v>18</c:v>
                </c:pt>
                <c:pt idx="7">
                  <c:v>18.3</c:v>
                </c:pt>
                <c:pt idx="8">
                  <c:v>25</c:v>
                </c:pt>
                <c:pt idx="9">
                  <c:v>25.85</c:v>
                </c:pt>
                <c:pt idx="10">
                  <c:v>26</c:v>
                </c:pt>
                <c:pt idx="11">
                  <c:v>27.75</c:v>
                </c:pt>
                <c:pt idx="12">
                  <c:v>30.15</c:v>
                </c:pt>
                <c:pt idx="13">
                  <c:v>31.349999999999998</c:v>
                </c:pt>
                <c:pt idx="14">
                  <c:v>34.949999999999996</c:v>
                </c:pt>
                <c:pt idx="15">
                  <c:v>37.499999999999993</c:v>
                </c:pt>
                <c:pt idx="16">
                  <c:v>39.149999999999991</c:v>
                </c:pt>
                <c:pt idx="17">
                  <c:v>39.399999999999991</c:v>
                </c:pt>
                <c:pt idx="18">
                  <c:v>39.749999999999993</c:v>
                </c:pt>
                <c:pt idx="19">
                  <c:v>42.399999999999991</c:v>
                </c:pt>
                <c:pt idx="20">
                  <c:v>44.849999999999994</c:v>
                </c:pt>
                <c:pt idx="21">
                  <c:v>48.8</c:v>
                </c:pt>
                <c:pt idx="22">
                  <c:v>56.8</c:v>
                </c:pt>
                <c:pt idx="23">
                  <c:v>62.3</c:v>
                </c:pt>
                <c:pt idx="24">
                  <c:v>63.8</c:v>
                </c:pt>
              </c:numCache>
            </c:numRef>
          </c:val>
          <c:smooth val="0"/>
          <c:extLst>
            <c:ext xmlns:c16="http://schemas.microsoft.com/office/drawing/2014/chart" uri="{C3380CC4-5D6E-409C-BE32-E72D297353CC}">
              <c16:uniqueId val="{00000000-5224-4586-8BB0-22FA5BB9480A}"/>
            </c:ext>
          </c:extLst>
        </c:ser>
        <c:ser>
          <c:idx val="1"/>
          <c:order val="1"/>
          <c:tx>
            <c:strRef>
              <c:f>[1]cumulative_female!$AE$33:$AE$34</c:f>
              <c:strCache>
                <c:ptCount val="1"/>
                <c:pt idx="0">
                  <c:v>CUMULATIVE (small UGAL Females) R2</c:v>
                </c:pt>
              </c:strCache>
            </c:strRef>
          </c:tx>
          <c:spPr>
            <a:ln w="28575" cap="rnd">
              <a:solidFill>
                <a:schemeClr val="accent2"/>
              </a:solidFill>
              <a:round/>
            </a:ln>
            <a:effectLst/>
          </c:spPr>
          <c:marker>
            <c:symbol val="none"/>
          </c:marker>
          <c:val>
            <c:numRef>
              <c:f>[1]cumulative_female!$AE$35:$AE$59</c:f>
              <c:numCache>
                <c:formatCode>General</c:formatCode>
                <c:ptCount val="25"/>
                <c:pt idx="0">
                  <c:v>0</c:v>
                </c:pt>
                <c:pt idx="1">
                  <c:v>3.2</c:v>
                </c:pt>
                <c:pt idx="2">
                  <c:v>3.2</c:v>
                </c:pt>
                <c:pt idx="3">
                  <c:v>3.8000000000000003</c:v>
                </c:pt>
                <c:pt idx="4">
                  <c:v>4.3000000000000007</c:v>
                </c:pt>
                <c:pt idx="5">
                  <c:v>4.3000000000000007</c:v>
                </c:pt>
                <c:pt idx="6">
                  <c:v>10.9</c:v>
                </c:pt>
                <c:pt idx="7">
                  <c:v>13.05</c:v>
                </c:pt>
                <c:pt idx="8">
                  <c:v>16.2</c:v>
                </c:pt>
                <c:pt idx="9">
                  <c:v>16.55</c:v>
                </c:pt>
                <c:pt idx="10">
                  <c:v>16.55</c:v>
                </c:pt>
                <c:pt idx="11">
                  <c:v>16.55</c:v>
                </c:pt>
                <c:pt idx="12">
                  <c:v>17.75</c:v>
                </c:pt>
                <c:pt idx="13">
                  <c:v>19.5</c:v>
                </c:pt>
                <c:pt idx="14">
                  <c:v>21.85</c:v>
                </c:pt>
                <c:pt idx="15">
                  <c:v>25.35</c:v>
                </c:pt>
                <c:pt idx="16">
                  <c:v>25.6</c:v>
                </c:pt>
                <c:pt idx="17">
                  <c:v>27.1</c:v>
                </c:pt>
                <c:pt idx="18">
                  <c:v>27.35</c:v>
                </c:pt>
                <c:pt idx="19">
                  <c:v>27.900000000000002</c:v>
                </c:pt>
                <c:pt idx="20">
                  <c:v>28.1</c:v>
                </c:pt>
                <c:pt idx="21">
                  <c:v>28.5</c:v>
                </c:pt>
                <c:pt idx="22">
                  <c:v>37.4</c:v>
                </c:pt>
                <c:pt idx="23">
                  <c:v>42.65</c:v>
                </c:pt>
                <c:pt idx="24">
                  <c:v>50.05</c:v>
                </c:pt>
              </c:numCache>
            </c:numRef>
          </c:val>
          <c:smooth val="0"/>
          <c:extLst>
            <c:ext xmlns:c16="http://schemas.microsoft.com/office/drawing/2014/chart" uri="{C3380CC4-5D6E-409C-BE32-E72D297353CC}">
              <c16:uniqueId val="{00000001-5224-4586-8BB0-22FA5BB9480A}"/>
            </c:ext>
          </c:extLst>
        </c:ser>
        <c:ser>
          <c:idx val="2"/>
          <c:order val="2"/>
          <c:tx>
            <c:strRef>
              <c:f>[1]cumulative_female!$AG$33:$AG$34</c:f>
              <c:strCache>
                <c:ptCount val="1"/>
                <c:pt idx="0">
                  <c:v>CUMULATIVE (small UGAL Females) R3</c:v>
                </c:pt>
              </c:strCache>
            </c:strRef>
          </c:tx>
          <c:spPr>
            <a:ln w="28575" cap="rnd">
              <a:solidFill>
                <a:schemeClr val="accent3"/>
              </a:solidFill>
              <a:round/>
            </a:ln>
            <a:effectLst/>
          </c:spPr>
          <c:marker>
            <c:symbol val="none"/>
          </c:marker>
          <c:val>
            <c:numRef>
              <c:f>[1]cumulative_female!$AG$35:$AG$59</c:f>
              <c:numCache>
                <c:formatCode>General</c:formatCode>
                <c:ptCount val="25"/>
                <c:pt idx="0">
                  <c:v>0</c:v>
                </c:pt>
                <c:pt idx="1">
                  <c:v>0</c:v>
                </c:pt>
                <c:pt idx="2">
                  <c:v>0.25</c:v>
                </c:pt>
                <c:pt idx="3">
                  <c:v>0.75</c:v>
                </c:pt>
                <c:pt idx="4">
                  <c:v>2.75</c:v>
                </c:pt>
                <c:pt idx="5">
                  <c:v>3.75</c:v>
                </c:pt>
                <c:pt idx="6">
                  <c:v>3.8</c:v>
                </c:pt>
                <c:pt idx="7">
                  <c:v>3.8</c:v>
                </c:pt>
                <c:pt idx="8">
                  <c:v>4.3999999999999995</c:v>
                </c:pt>
                <c:pt idx="9">
                  <c:v>13.849999999999998</c:v>
                </c:pt>
                <c:pt idx="10">
                  <c:v>20</c:v>
                </c:pt>
                <c:pt idx="11">
                  <c:v>23.75</c:v>
                </c:pt>
                <c:pt idx="12">
                  <c:v>27.35</c:v>
                </c:pt>
                <c:pt idx="13">
                  <c:v>33.5</c:v>
                </c:pt>
                <c:pt idx="14">
                  <c:v>43.1</c:v>
                </c:pt>
                <c:pt idx="15">
                  <c:v>47.45</c:v>
                </c:pt>
                <c:pt idx="16">
                  <c:v>49.1</c:v>
                </c:pt>
                <c:pt idx="17">
                  <c:v>49.35</c:v>
                </c:pt>
                <c:pt idx="18">
                  <c:v>50</c:v>
                </c:pt>
                <c:pt idx="19">
                  <c:v>50.35</c:v>
                </c:pt>
                <c:pt idx="20">
                  <c:v>50.6</c:v>
                </c:pt>
                <c:pt idx="21">
                  <c:v>50.95</c:v>
                </c:pt>
                <c:pt idx="22">
                  <c:v>57.800000000000004</c:v>
                </c:pt>
                <c:pt idx="23">
                  <c:v>71.25</c:v>
                </c:pt>
                <c:pt idx="24">
                  <c:v>75.05</c:v>
                </c:pt>
              </c:numCache>
            </c:numRef>
          </c:val>
          <c:smooth val="0"/>
          <c:extLst>
            <c:ext xmlns:c16="http://schemas.microsoft.com/office/drawing/2014/chart" uri="{C3380CC4-5D6E-409C-BE32-E72D297353CC}">
              <c16:uniqueId val="{00000002-5224-4586-8BB0-22FA5BB9480A}"/>
            </c:ext>
          </c:extLst>
        </c:ser>
        <c:ser>
          <c:idx val="3"/>
          <c:order val="3"/>
          <c:tx>
            <c:strRef>
              <c:f>[1]cumulative_female!$AI$33:$AI$34</c:f>
              <c:strCache>
                <c:ptCount val="1"/>
                <c:pt idx="0">
                  <c:v>CUMULATIVE (small UGAL Females) R4</c:v>
                </c:pt>
              </c:strCache>
            </c:strRef>
          </c:tx>
          <c:spPr>
            <a:ln w="28575" cap="rnd">
              <a:solidFill>
                <a:schemeClr val="accent4"/>
              </a:solidFill>
              <a:round/>
            </a:ln>
            <a:effectLst/>
          </c:spPr>
          <c:marker>
            <c:symbol val="none"/>
          </c:marker>
          <c:val>
            <c:numRef>
              <c:f>[1]cumulative_female!$AI$35:$AI$59</c:f>
              <c:numCache>
                <c:formatCode>General</c:formatCode>
                <c:ptCount val="25"/>
                <c:pt idx="0">
                  <c:v>0</c:v>
                </c:pt>
                <c:pt idx="1">
                  <c:v>0.9</c:v>
                </c:pt>
                <c:pt idx="2">
                  <c:v>0.95000000000000007</c:v>
                </c:pt>
                <c:pt idx="3">
                  <c:v>1.1000000000000001</c:v>
                </c:pt>
                <c:pt idx="4">
                  <c:v>1.9000000000000001</c:v>
                </c:pt>
                <c:pt idx="5">
                  <c:v>2.4500000000000002</c:v>
                </c:pt>
                <c:pt idx="6">
                  <c:v>3.25</c:v>
                </c:pt>
                <c:pt idx="7">
                  <c:v>3.4</c:v>
                </c:pt>
                <c:pt idx="8">
                  <c:v>5.0999999999999996</c:v>
                </c:pt>
                <c:pt idx="9">
                  <c:v>11.2</c:v>
                </c:pt>
                <c:pt idx="10">
                  <c:v>13.5</c:v>
                </c:pt>
                <c:pt idx="11">
                  <c:v>32.200000000000003</c:v>
                </c:pt>
                <c:pt idx="12">
                  <c:v>43</c:v>
                </c:pt>
                <c:pt idx="13">
                  <c:v>55.8</c:v>
                </c:pt>
                <c:pt idx="14">
                  <c:v>60.4</c:v>
                </c:pt>
                <c:pt idx="15">
                  <c:v>62.5</c:v>
                </c:pt>
                <c:pt idx="16">
                  <c:v>63.35</c:v>
                </c:pt>
                <c:pt idx="17">
                  <c:v>65.5</c:v>
                </c:pt>
                <c:pt idx="18">
                  <c:v>66.8</c:v>
                </c:pt>
                <c:pt idx="19">
                  <c:v>67.399999999999991</c:v>
                </c:pt>
                <c:pt idx="20">
                  <c:v>67.899999999999991</c:v>
                </c:pt>
                <c:pt idx="21">
                  <c:v>68.399999999999991</c:v>
                </c:pt>
                <c:pt idx="22">
                  <c:v>68.599999999999994</c:v>
                </c:pt>
                <c:pt idx="23">
                  <c:v>70</c:v>
                </c:pt>
                <c:pt idx="24">
                  <c:v>82.6</c:v>
                </c:pt>
              </c:numCache>
            </c:numRef>
          </c:val>
          <c:smooth val="0"/>
          <c:extLst>
            <c:ext xmlns:c16="http://schemas.microsoft.com/office/drawing/2014/chart" uri="{C3380CC4-5D6E-409C-BE32-E72D297353CC}">
              <c16:uniqueId val="{00000003-5224-4586-8BB0-22FA5BB9480A}"/>
            </c:ext>
          </c:extLst>
        </c:ser>
        <c:dLbls>
          <c:showLegendKey val="0"/>
          <c:showVal val="0"/>
          <c:showCatName val="0"/>
          <c:showSerName val="0"/>
          <c:showPercent val="0"/>
          <c:showBubbleSize val="0"/>
        </c:dLbls>
        <c:smooth val="0"/>
        <c:axId val="815435168"/>
        <c:axId val="815440448"/>
      </c:lineChart>
      <c:catAx>
        <c:axId val="815435168"/>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5440448"/>
        <c:crosses val="autoZero"/>
        <c:auto val="1"/>
        <c:lblAlgn val="ctr"/>
        <c:lblOffset val="100"/>
        <c:noMultiLvlLbl val="0"/>
      </c:catAx>
      <c:valAx>
        <c:axId val="8154404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54351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Bottle Assay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'Fig4_Insecticide Resistant'!$R$47</c:f>
              <c:strCache>
                <c:ptCount val="1"/>
                <c:pt idx="0">
                  <c:v>Small UGAL-C</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'Fig4_Insecticide Resistant'!$S$46:$AC$46</c:f>
              <c:numCache>
                <c:formatCode>General</c:formatCode>
                <c:ptCount val="11"/>
                <c:pt idx="0">
                  <c:v>0</c:v>
                </c:pt>
                <c:pt idx="1">
                  <c:v>5</c:v>
                </c:pt>
                <c:pt idx="2">
                  <c:v>10</c:v>
                </c:pt>
                <c:pt idx="3">
                  <c:v>15</c:v>
                </c:pt>
                <c:pt idx="4">
                  <c:v>20</c:v>
                </c:pt>
                <c:pt idx="5">
                  <c:v>25</c:v>
                </c:pt>
                <c:pt idx="6">
                  <c:v>30</c:v>
                </c:pt>
                <c:pt idx="7">
                  <c:v>35</c:v>
                </c:pt>
                <c:pt idx="8">
                  <c:v>40</c:v>
                </c:pt>
                <c:pt idx="9">
                  <c:v>45</c:v>
                </c:pt>
                <c:pt idx="10">
                  <c:v>50</c:v>
                </c:pt>
              </c:numCache>
            </c:numRef>
          </c:cat>
          <c:val>
            <c:numRef>
              <c:f>'Fig4_Insecticide Resistant'!$S$47:$AC$47</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smooth val="0"/>
          <c:extLst>
            <c:ext xmlns:c16="http://schemas.microsoft.com/office/drawing/2014/chart" uri="{C3380CC4-5D6E-409C-BE32-E72D297353CC}">
              <c16:uniqueId val="{00000000-284F-47AF-8D8E-31DC9BA1E61D}"/>
            </c:ext>
          </c:extLst>
        </c:ser>
        <c:ser>
          <c:idx val="1"/>
          <c:order val="1"/>
          <c:tx>
            <c:strRef>
              <c:f>'Fig4_Insecticide Resistant'!$R$48</c:f>
              <c:strCache>
                <c:ptCount val="1"/>
                <c:pt idx="0">
                  <c:v>Small UGAL-P</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'Fig4_Insecticide Resistant'!$S$46:$AC$46</c:f>
              <c:numCache>
                <c:formatCode>General</c:formatCode>
                <c:ptCount val="11"/>
                <c:pt idx="0">
                  <c:v>0</c:v>
                </c:pt>
                <c:pt idx="1">
                  <c:v>5</c:v>
                </c:pt>
                <c:pt idx="2">
                  <c:v>10</c:v>
                </c:pt>
                <c:pt idx="3">
                  <c:v>15</c:v>
                </c:pt>
                <c:pt idx="4">
                  <c:v>20</c:v>
                </c:pt>
                <c:pt idx="5">
                  <c:v>25</c:v>
                </c:pt>
                <c:pt idx="6">
                  <c:v>30</c:v>
                </c:pt>
                <c:pt idx="7">
                  <c:v>35</c:v>
                </c:pt>
                <c:pt idx="8">
                  <c:v>40</c:v>
                </c:pt>
                <c:pt idx="9">
                  <c:v>45</c:v>
                </c:pt>
                <c:pt idx="10">
                  <c:v>50</c:v>
                </c:pt>
              </c:numCache>
            </c:numRef>
          </c:cat>
          <c:val>
            <c:numRef>
              <c:f>'Fig4_Insecticide Resistant'!$S$48:$AC$48</c:f>
              <c:numCache>
                <c:formatCode>General</c:formatCode>
                <c:ptCount val="11"/>
                <c:pt idx="0">
                  <c:v>0</c:v>
                </c:pt>
                <c:pt idx="1">
                  <c:v>74.694055944055947</c:v>
                </c:pt>
                <c:pt idx="2">
                  <c:v>97.916666666666657</c:v>
                </c:pt>
                <c:pt idx="3">
                  <c:v>100</c:v>
                </c:pt>
                <c:pt idx="4">
                  <c:v>100</c:v>
                </c:pt>
                <c:pt idx="5">
                  <c:v>100</c:v>
                </c:pt>
                <c:pt idx="6">
                  <c:v>100</c:v>
                </c:pt>
                <c:pt idx="7">
                  <c:v>100</c:v>
                </c:pt>
                <c:pt idx="8">
                  <c:v>100</c:v>
                </c:pt>
                <c:pt idx="9">
                  <c:v>100</c:v>
                </c:pt>
                <c:pt idx="10">
                  <c:v>100</c:v>
                </c:pt>
              </c:numCache>
            </c:numRef>
          </c:val>
          <c:smooth val="0"/>
          <c:extLst>
            <c:ext xmlns:c16="http://schemas.microsoft.com/office/drawing/2014/chart" uri="{C3380CC4-5D6E-409C-BE32-E72D297353CC}">
              <c16:uniqueId val="{00000001-284F-47AF-8D8E-31DC9BA1E61D}"/>
            </c:ext>
          </c:extLst>
        </c:ser>
        <c:ser>
          <c:idx val="2"/>
          <c:order val="2"/>
          <c:tx>
            <c:strRef>
              <c:f>'Fig4_Insecticide Resistant'!$R$49</c:f>
              <c:strCache>
                <c:ptCount val="1"/>
                <c:pt idx="0">
                  <c:v>Large UGAL-C</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'Fig4_Insecticide Resistant'!$S$46:$AC$46</c:f>
              <c:numCache>
                <c:formatCode>General</c:formatCode>
                <c:ptCount val="11"/>
                <c:pt idx="0">
                  <c:v>0</c:v>
                </c:pt>
                <c:pt idx="1">
                  <c:v>5</c:v>
                </c:pt>
                <c:pt idx="2">
                  <c:v>10</c:v>
                </c:pt>
                <c:pt idx="3">
                  <c:v>15</c:v>
                </c:pt>
                <c:pt idx="4">
                  <c:v>20</c:v>
                </c:pt>
                <c:pt idx="5">
                  <c:v>25</c:v>
                </c:pt>
                <c:pt idx="6">
                  <c:v>30</c:v>
                </c:pt>
                <c:pt idx="7">
                  <c:v>35</c:v>
                </c:pt>
                <c:pt idx="8">
                  <c:v>40</c:v>
                </c:pt>
                <c:pt idx="9">
                  <c:v>45</c:v>
                </c:pt>
                <c:pt idx="10">
                  <c:v>50</c:v>
                </c:pt>
              </c:numCache>
            </c:numRef>
          </c:cat>
          <c:val>
            <c:numRef>
              <c:f>'Fig4_Insecticide Resistant'!$S$49:$AC$49</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smooth val="0"/>
          <c:extLst>
            <c:ext xmlns:c16="http://schemas.microsoft.com/office/drawing/2014/chart" uri="{C3380CC4-5D6E-409C-BE32-E72D297353CC}">
              <c16:uniqueId val="{00000002-284F-47AF-8D8E-31DC9BA1E61D}"/>
            </c:ext>
          </c:extLst>
        </c:ser>
        <c:ser>
          <c:idx val="3"/>
          <c:order val="3"/>
          <c:tx>
            <c:strRef>
              <c:f>'Fig4_Insecticide Resistant'!$R$50</c:f>
              <c:strCache>
                <c:ptCount val="1"/>
                <c:pt idx="0">
                  <c:v>Large UGAL-P</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'Fig4_Insecticide Resistant'!$S$46:$AC$46</c:f>
              <c:numCache>
                <c:formatCode>General</c:formatCode>
                <c:ptCount val="11"/>
                <c:pt idx="0">
                  <c:v>0</c:v>
                </c:pt>
                <c:pt idx="1">
                  <c:v>5</c:v>
                </c:pt>
                <c:pt idx="2">
                  <c:v>10</c:v>
                </c:pt>
                <c:pt idx="3">
                  <c:v>15</c:v>
                </c:pt>
                <c:pt idx="4">
                  <c:v>20</c:v>
                </c:pt>
                <c:pt idx="5">
                  <c:v>25</c:v>
                </c:pt>
                <c:pt idx="6">
                  <c:v>30</c:v>
                </c:pt>
                <c:pt idx="7">
                  <c:v>35</c:v>
                </c:pt>
                <c:pt idx="8">
                  <c:v>40</c:v>
                </c:pt>
                <c:pt idx="9">
                  <c:v>45</c:v>
                </c:pt>
                <c:pt idx="10">
                  <c:v>50</c:v>
                </c:pt>
              </c:numCache>
            </c:numRef>
          </c:cat>
          <c:val>
            <c:numRef>
              <c:f>'Fig4_Insecticide Resistant'!$S$50:$AC$50</c:f>
              <c:numCache>
                <c:formatCode>General</c:formatCode>
                <c:ptCount val="11"/>
                <c:pt idx="0">
                  <c:v>0</c:v>
                </c:pt>
                <c:pt idx="1">
                  <c:v>86.188725490196092</c:v>
                </c:pt>
                <c:pt idx="2">
                  <c:v>100</c:v>
                </c:pt>
                <c:pt idx="3">
                  <c:v>100</c:v>
                </c:pt>
                <c:pt idx="4">
                  <c:v>100</c:v>
                </c:pt>
                <c:pt idx="5">
                  <c:v>100</c:v>
                </c:pt>
                <c:pt idx="6">
                  <c:v>100</c:v>
                </c:pt>
                <c:pt idx="7">
                  <c:v>100</c:v>
                </c:pt>
                <c:pt idx="8">
                  <c:v>100</c:v>
                </c:pt>
                <c:pt idx="9">
                  <c:v>100</c:v>
                </c:pt>
                <c:pt idx="10">
                  <c:v>100</c:v>
                </c:pt>
              </c:numCache>
            </c:numRef>
          </c:val>
          <c:smooth val="0"/>
          <c:extLst>
            <c:ext xmlns:c16="http://schemas.microsoft.com/office/drawing/2014/chart" uri="{C3380CC4-5D6E-409C-BE32-E72D297353CC}">
              <c16:uniqueId val="{00000003-284F-47AF-8D8E-31DC9BA1E61D}"/>
            </c:ext>
          </c:extLst>
        </c:ser>
        <c:ser>
          <c:idx val="4"/>
          <c:order val="4"/>
          <c:tx>
            <c:strRef>
              <c:f>'Fig4_Insecticide Resistant'!$R$51</c:f>
              <c:strCache>
                <c:ptCount val="1"/>
                <c:pt idx="0">
                  <c:v>Small PUERTO RICO-C</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'Fig4_Insecticide Resistant'!$S$46:$AC$46</c:f>
              <c:numCache>
                <c:formatCode>General</c:formatCode>
                <c:ptCount val="11"/>
                <c:pt idx="0">
                  <c:v>0</c:v>
                </c:pt>
                <c:pt idx="1">
                  <c:v>5</c:v>
                </c:pt>
                <c:pt idx="2">
                  <c:v>10</c:v>
                </c:pt>
                <c:pt idx="3">
                  <c:v>15</c:v>
                </c:pt>
                <c:pt idx="4">
                  <c:v>20</c:v>
                </c:pt>
                <c:pt idx="5">
                  <c:v>25</c:v>
                </c:pt>
                <c:pt idx="6">
                  <c:v>30</c:v>
                </c:pt>
                <c:pt idx="7">
                  <c:v>35</c:v>
                </c:pt>
                <c:pt idx="8">
                  <c:v>40</c:v>
                </c:pt>
                <c:pt idx="9">
                  <c:v>45</c:v>
                </c:pt>
                <c:pt idx="10">
                  <c:v>50</c:v>
                </c:pt>
              </c:numCache>
            </c:numRef>
          </c:cat>
          <c:val>
            <c:numRef>
              <c:f>'Fig4_Insecticide Resistant'!$S$51:$AC$51</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smooth val="0"/>
          <c:extLst>
            <c:ext xmlns:c16="http://schemas.microsoft.com/office/drawing/2014/chart" uri="{C3380CC4-5D6E-409C-BE32-E72D297353CC}">
              <c16:uniqueId val="{00000004-284F-47AF-8D8E-31DC9BA1E61D}"/>
            </c:ext>
          </c:extLst>
        </c:ser>
        <c:ser>
          <c:idx val="5"/>
          <c:order val="5"/>
          <c:tx>
            <c:strRef>
              <c:f>'Fig4_Insecticide Resistant'!$R$52</c:f>
              <c:strCache>
                <c:ptCount val="1"/>
                <c:pt idx="0">
                  <c:v>Small PUERTO RICO-P</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numRef>
              <c:f>'Fig4_Insecticide Resistant'!$S$46:$AC$46</c:f>
              <c:numCache>
                <c:formatCode>General</c:formatCode>
                <c:ptCount val="11"/>
                <c:pt idx="0">
                  <c:v>0</c:v>
                </c:pt>
                <c:pt idx="1">
                  <c:v>5</c:v>
                </c:pt>
                <c:pt idx="2">
                  <c:v>10</c:v>
                </c:pt>
                <c:pt idx="3">
                  <c:v>15</c:v>
                </c:pt>
                <c:pt idx="4">
                  <c:v>20</c:v>
                </c:pt>
                <c:pt idx="5">
                  <c:v>25</c:v>
                </c:pt>
                <c:pt idx="6">
                  <c:v>30</c:v>
                </c:pt>
                <c:pt idx="7">
                  <c:v>35</c:v>
                </c:pt>
                <c:pt idx="8">
                  <c:v>40</c:v>
                </c:pt>
                <c:pt idx="9">
                  <c:v>45</c:v>
                </c:pt>
                <c:pt idx="10">
                  <c:v>50</c:v>
                </c:pt>
              </c:numCache>
            </c:numRef>
          </c:cat>
          <c:val>
            <c:numRef>
              <c:f>'Fig4_Insecticide Resistant'!$S$52:$AC$52</c:f>
              <c:numCache>
                <c:formatCode>General</c:formatCode>
                <c:ptCount val="11"/>
                <c:pt idx="0">
                  <c:v>0</c:v>
                </c:pt>
                <c:pt idx="1">
                  <c:v>0</c:v>
                </c:pt>
                <c:pt idx="2">
                  <c:v>1.9230769230769231</c:v>
                </c:pt>
                <c:pt idx="3">
                  <c:v>1.9230769230769231</c:v>
                </c:pt>
                <c:pt idx="4">
                  <c:v>18.26923076923077</c:v>
                </c:pt>
                <c:pt idx="5">
                  <c:v>50.160256410256409</c:v>
                </c:pt>
                <c:pt idx="6">
                  <c:v>78.044871794871796</c:v>
                </c:pt>
                <c:pt idx="7">
                  <c:v>90.064102564102555</c:v>
                </c:pt>
                <c:pt idx="8">
                  <c:v>95.993589743589737</c:v>
                </c:pt>
                <c:pt idx="9">
                  <c:v>97.916666666666657</c:v>
                </c:pt>
                <c:pt idx="10">
                  <c:v>100</c:v>
                </c:pt>
              </c:numCache>
            </c:numRef>
          </c:val>
          <c:smooth val="0"/>
          <c:extLst>
            <c:ext xmlns:c16="http://schemas.microsoft.com/office/drawing/2014/chart" uri="{C3380CC4-5D6E-409C-BE32-E72D297353CC}">
              <c16:uniqueId val="{00000005-284F-47AF-8D8E-31DC9BA1E61D}"/>
            </c:ext>
          </c:extLst>
        </c:ser>
        <c:ser>
          <c:idx val="6"/>
          <c:order val="6"/>
          <c:tx>
            <c:strRef>
              <c:f>'Fig4_Insecticide Resistant'!$R$53</c:f>
              <c:strCache>
                <c:ptCount val="1"/>
                <c:pt idx="0">
                  <c:v>Large PUERTO RICO-C</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cat>
            <c:numRef>
              <c:f>'Fig4_Insecticide Resistant'!$S$46:$AC$46</c:f>
              <c:numCache>
                <c:formatCode>General</c:formatCode>
                <c:ptCount val="11"/>
                <c:pt idx="0">
                  <c:v>0</c:v>
                </c:pt>
                <c:pt idx="1">
                  <c:v>5</c:v>
                </c:pt>
                <c:pt idx="2">
                  <c:v>10</c:v>
                </c:pt>
                <c:pt idx="3">
                  <c:v>15</c:v>
                </c:pt>
                <c:pt idx="4">
                  <c:v>20</c:v>
                </c:pt>
                <c:pt idx="5">
                  <c:v>25</c:v>
                </c:pt>
                <c:pt idx="6">
                  <c:v>30</c:v>
                </c:pt>
                <c:pt idx="7">
                  <c:v>35</c:v>
                </c:pt>
                <c:pt idx="8">
                  <c:v>40</c:v>
                </c:pt>
                <c:pt idx="9">
                  <c:v>45</c:v>
                </c:pt>
                <c:pt idx="10">
                  <c:v>50</c:v>
                </c:pt>
              </c:numCache>
            </c:numRef>
          </c:cat>
          <c:val>
            <c:numRef>
              <c:f>'Fig4_Insecticide Resistant'!$S$53:$AC$53</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smooth val="0"/>
          <c:extLst>
            <c:ext xmlns:c16="http://schemas.microsoft.com/office/drawing/2014/chart" uri="{C3380CC4-5D6E-409C-BE32-E72D297353CC}">
              <c16:uniqueId val="{00000006-284F-47AF-8D8E-31DC9BA1E61D}"/>
            </c:ext>
          </c:extLst>
        </c:ser>
        <c:ser>
          <c:idx val="7"/>
          <c:order val="7"/>
          <c:tx>
            <c:strRef>
              <c:f>'Fig4_Insecticide Resistant'!$R$54</c:f>
              <c:strCache>
                <c:ptCount val="1"/>
                <c:pt idx="0">
                  <c:v>Large PUERTO RICO-P</c:v>
                </c:pt>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cat>
            <c:numRef>
              <c:f>'Fig4_Insecticide Resistant'!$S$46:$AC$46</c:f>
              <c:numCache>
                <c:formatCode>General</c:formatCode>
                <c:ptCount val="11"/>
                <c:pt idx="0">
                  <c:v>0</c:v>
                </c:pt>
                <c:pt idx="1">
                  <c:v>5</c:v>
                </c:pt>
                <c:pt idx="2">
                  <c:v>10</c:v>
                </c:pt>
                <c:pt idx="3">
                  <c:v>15</c:v>
                </c:pt>
                <c:pt idx="4">
                  <c:v>20</c:v>
                </c:pt>
                <c:pt idx="5">
                  <c:v>25</c:v>
                </c:pt>
                <c:pt idx="6">
                  <c:v>30</c:v>
                </c:pt>
                <c:pt idx="7">
                  <c:v>35</c:v>
                </c:pt>
                <c:pt idx="8">
                  <c:v>40</c:v>
                </c:pt>
                <c:pt idx="9">
                  <c:v>45</c:v>
                </c:pt>
                <c:pt idx="10">
                  <c:v>50</c:v>
                </c:pt>
              </c:numCache>
            </c:numRef>
          </c:cat>
          <c:val>
            <c:numRef>
              <c:f>'Fig4_Insecticide Resistant'!$S$54:$AC$54</c:f>
              <c:numCache>
                <c:formatCode>General</c:formatCode>
                <c:ptCount val="11"/>
                <c:pt idx="0">
                  <c:v>0</c:v>
                </c:pt>
                <c:pt idx="1">
                  <c:v>0</c:v>
                </c:pt>
                <c:pt idx="2">
                  <c:v>0</c:v>
                </c:pt>
                <c:pt idx="3">
                  <c:v>0</c:v>
                </c:pt>
                <c:pt idx="4">
                  <c:v>67.767857142857139</c:v>
                </c:pt>
                <c:pt idx="5">
                  <c:v>80.535714285714278</c:v>
                </c:pt>
                <c:pt idx="6">
                  <c:v>83.883928571428569</c:v>
                </c:pt>
                <c:pt idx="7">
                  <c:v>88.794642857142861</c:v>
                </c:pt>
                <c:pt idx="8">
                  <c:v>94.866071428571431</c:v>
                </c:pt>
                <c:pt idx="9">
                  <c:v>100</c:v>
                </c:pt>
                <c:pt idx="10">
                  <c:v>100</c:v>
                </c:pt>
              </c:numCache>
            </c:numRef>
          </c:val>
          <c:smooth val="0"/>
          <c:extLst>
            <c:ext xmlns:c16="http://schemas.microsoft.com/office/drawing/2014/chart" uri="{C3380CC4-5D6E-409C-BE32-E72D297353CC}">
              <c16:uniqueId val="{00000007-284F-47AF-8D8E-31DC9BA1E61D}"/>
            </c:ext>
          </c:extLst>
        </c:ser>
        <c:dLbls>
          <c:showLegendKey val="0"/>
          <c:showVal val="0"/>
          <c:showCatName val="0"/>
          <c:showSerName val="0"/>
          <c:showPercent val="0"/>
          <c:showBubbleSize val="0"/>
        </c:dLbls>
        <c:marker val="1"/>
        <c:smooth val="0"/>
        <c:axId val="933150895"/>
        <c:axId val="898237007"/>
      </c:lineChart>
      <c:catAx>
        <c:axId val="93315089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Time(in min)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8237007"/>
        <c:crosses val="autoZero"/>
        <c:auto val="1"/>
        <c:lblAlgn val="ctr"/>
        <c:lblOffset val="100"/>
        <c:noMultiLvlLbl val="0"/>
      </c:catAx>
      <c:valAx>
        <c:axId val="898237007"/>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Mortality (%)</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315089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37</xdr:col>
      <xdr:colOff>304801</xdr:colOff>
      <xdr:row>2</xdr:row>
      <xdr:rowOff>180976</xdr:rowOff>
    </xdr:from>
    <xdr:to>
      <xdr:col>43</xdr:col>
      <xdr:colOff>504824</xdr:colOff>
      <xdr:row>17</xdr:row>
      <xdr:rowOff>95250</xdr:rowOff>
    </xdr:to>
    <xdr:graphicFrame macro="">
      <xdr:nvGraphicFramePr>
        <xdr:cNvPr id="2" name="Chart 1">
          <a:extLst>
            <a:ext uri="{FF2B5EF4-FFF2-40B4-BE49-F238E27FC236}">
              <a16:creationId xmlns:a16="http://schemas.microsoft.com/office/drawing/2014/main" id="{1BAC5E68-0F39-4359-A139-3836104B83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36</xdr:col>
      <xdr:colOff>106362</xdr:colOff>
      <xdr:row>43</xdr:row>
      <xdr:rowOff>1587</xdr:rowOff>
    </xdr:from>
    <xdr:to>
      <xdr:col>43</xdr:col>
      <xdr:colOff>28575</xdr:colOff>
      <xdr:row>58</xdr:row>
      <xdr:rowOff>123825</xdr:rowOff>
    </xdr:to>
    <xdr:graphicFrame macro="">
      <xdr:nvGraphicFramePr>
        <xdr:cNvPr id="3" name="Chart 2">
          <a:extLst>
            <a:ext uri="{FF2B5EF4-FFF2-40B4-BE49-F238E27FC236}">
              <a16:creationId xmlns:a16="http://schemas.microsoft.com/office/drawing/2014/main" id="{9E87AE7F-7409-406F-BA50-BC9DBC1DCA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142875</xdr:colOff>
      <xdr:row>45</xdr:row>
      <xdr:rowOff>71436</xdr:rowOff>
    </xdr:from>
    <xdr:to>
      <xdr:col>15</xdr:col>
      <xdr:colOff>466725</xdr:colOff>
      <xdr:row>63</xdr:row>
      <xdr:rowOff>19050</xdr:rowOff>
    </xdr:to>
    <xdr:graphicFrame macro="">
      <xdr:nvGraphicFramePr>
        <xdr:cNvPr id="3" name="Chart 2">
          <a:extLst>
            <a:ext uri="{FF2B5EF4-FFF2-40B4-BE49-F238E27FC236}">
              <a16:creationId xmlns:a16="http://schemas.microsoft.com/office/drawing/2014/main" id="{2A180AF9-7010-30DD-A88F-8524C4FB42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njali\NMSU%20Dropbox\Anjali%20Karki\Anjali_%20Small%20Mosquitoes_%20Project_24\Figure%202%20Locomotor%20Activity\Re-done_NOV%2022_24%20LAM%2025_DATA\UGAL%20Only%20(Small%20&amp;%20Large).xlsx" TargetMode="External"/><Relationship Id="rId1" Type="http://schemas.openxmlformats.org/officeDocument/2006/relationships/externalLinkPath" Target="Figure%202%20Locomotor%20Activity/Re-done_NOV%2022_24%20LAM%2025_DATA/UGAL%20Only%20(Small%20&amp;%20Larg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emale_UGAL(small &amp; large)"/>
      <sheetName val="Male UGAL (small &amp; large)"/>
      <sheetName val="%Cumulative_Female"/>
      <sheetName val="%Cumulative_Males"/>
      <sheetName val="cumulative_female"/>
      <sheetName val="cumulative_male"/>
    </sheetNames>
    <sheetDataSet>
      <sheetData sheetId="0"/>
      <sheetData sheetId="1"/>
      <sheetData sheetId="2"/>
      <sheetData sheetId="3"/>
      <sheetData sheetId="4">
        <row r="5">
          <cell r="AC5" t="str">
            <v>R1</v>
          </cell>
          <cell r="AE5" t="str">
            <v>R2</v>
          </cell>
          <cell r="AG5" t="str">
            <v>R3</v>
          </cell>
          <cell r="AI5" t="str">
            <v>R4</v>
          </cell>
        </row>
        <row r="6">
          <cell r="AC6">
            <v>0.05</v>
          </cell>
          <cell r="AE6">
            <v>0</v>
          </cell>
          <cell r="AG6">
            <v>0</v>
          </cell>
          <cell r="AI6">
            <v>0</v>
          </cell>
        </row>
        <row r="7">
          <cell r="AC7">
            <v>9.1000000000000014</v>
          </cell>
          <cell r="AE7">
            <v>8.6</v>
          </cell>
          <cell r="AG7">
            <v>1.65</v>
          </cell>
          <cell r="AI7">
            <v>30.35</v>
          </cell>
        </row>
        <row r="8">
          <cell r="AC8">
            <v>18.950000000000003</v>
          </cell>
          <cell r="AE8">
            <v>18.049999999999997</v>
          </cell>
          <cell r="AG8">
            <v>2.5</v>
          </cell>
          <cell r="AI8">
            <v>42.6</v>
          </cell>
        </row>
        <row r="9">
          <cell r="AC9">
            <v>22.35</v>
          </cell>
          <cell r="AE9">
            <v>24.849999999999998</v>
          </cell>
          <cell r="AG9">
            <v>6.6</v>
          </cell>
          <cell r="AI9">
            <v>48.050000000000004</v>
          </cell>
        </row>
        <row r="10">
          <cell r="AC10">
            <v>50.1</v>
          </cell>
          <cell r="AE10">
            <v>39.199999999999996</v>
          </cell>
          <cell r="AG10">
            <v>20.45</v>
          </cell>
          <cell r="AI10">
            <v>66.95</v>
          </cell>
        </row>
        <row r="11">
          <cell r="AC11">
            <v>64.900000000000006</v>
          </cell>
          <cell r="AE11">
            <v>42.65</v>
          </cell>
          <cell r="AG11">
            <v>25.549999999999997</v>
          </cell>
          <cell r="AI11">
            <v>72</v>
          </cell>
        </row>
        <row r="12">
          <cell r="AC12">
            <v>68.800000000000011</v>
          </cell>
          <cell r="AE12">
            <v>45.85</v>
          </cell>
          <cell r="AG12">
            <v>28.4</v>
          </cell>
          <cell r="AI12">
            <v>77.95</v>
          </cell>
        </row>
        <row r="13">
          <cell r="AC13">
            <v>80.700000000000017</v>
          </cell>
          <cell r="AE13">
            <v>47.5</v>
          </cell>
          <cell r="AG13">
            <v>32.4</v>
          </cell>
          <cell r="AI13">
            <v>86.05</v>
          </cell>
        </row>
        <row r="14">
          <cell r="AC14">
            <v>112.05000000000001</v>
          </cell>
          <cell r="AE14">
            <v>69.849999999999994</v>
          </cell>
          <cell r="AG14">
            <v>44.8</v>
          </cell>
          <cell r="AI14">
            <v>90.6</v>
          </cell>
        </row>
        <row r="15">
          <cell r="AC15">
            <v>122.80000000000001</v>
          </cell>
          <cell r="AE15">
            <v>70.149999999999991</v>
          </cell>
          <cell r="AG15">
            <v>51.449999999999996</v>
          </cell>
          <cell r="AI15">
            <v>100.55</v>
          </cell>
        </row>
        <row r="16">
          <cell r="AC16">
            <v>126.35000000000001</v>
          </cell>
          <cell r="AE16">
            <v>79.499999999999986</v>
          </cell>
          <cell r="AG16">
            <v>51.999999999999993</v>
          </cell>
          <cell r="AI16">
            <v>115.55</v>
          </cell>
        </row>
        <row r="17">
          <cell r="AC17">
            <v>156.25</v>
          </cell>
          <cell r="AE17">
            <v>86.249999999999986</v>
          </cell>
          <cell r="AG17">
            <v>77.05</v>
          </cell>
          <cell r="AI17">
            <v>125.14999999999999</v>
          </cell>
        </row>
        <row r="18">
          <cell r="AC18">
            <v>172.45</v>
          </cell>
          <cell r="AE18">
            <v>86.299999999999983</v>
          </cell>
          <cell r="AG18">
            <v>77.45</v>
          </cell>
          <cell r="AI18">
            <v>146.94999999999999</v>
          </cell>
        </row>
        <row r="19">
          <cell r="AC19">
            <v>172.79999999999998</v>
          </cell>
          <cell r="AE19">
            <v>86.299999999999983</v>
          </cell>
          <cell r="AG19">
            <v>96.6</v>
          </cell>
          <cell r="AI19">
            <v>152.54999999999998</v>
          </cell>
        </row>
        <row r="20">
          <cell r="AC20">
            <v>181.14999999999998</v>
          </cell>
          <cell r="AE20">
            <v>90.949999999999989</v>
          </cell>
          <cell r="AG20">
            <v>103.39999999999999</v>
          </cell>
          <cell r="AI20">
            <v>152.54999999999998</v>
          </cell>
        </row>
        <row r="21">
          <cell r="AC21">
            <v>201.2</v>
          </cell>
          <cell r="AE21">
            <v>90.949999999999989</v>
          </cell>
          <cell r="AG21">
            <v>103.8</v>
          </cell>
          <cell r="AI21">
            <v>159.19999999999999</v>
          </cell>
        </row>
        <row r="22">
          <cell r="AC22">
            <v>211</v>
          </cell>
          <cell r="AE22">
            <v>102.6</v>
          </cell>
          <cell r="AG22">
            <v>103.8</v>
          </cell>
          <cell r="AI22">
            <v>162.6</v>
          </cell>
        </row>
        <row r="23">
          <cell r="AC23">
            <v>212.05</v>
          </cell>
          <cell r="AE23">
            <v>103.6</v>
          </cell>
          <cell r="AG23">
            <v>111.25</v>
          </cell>
          <cell r="AI23">
            <v>163</v>
          </cell>
        </row>
        <row r="24">
          <cell r="AC24">
            <v>213.65</v>
          </cell>
          <cell r="AE24">
            <v>104.19999999999999</v>
          </cell>
          <cell r="AG24">
            <v>123.8</v>
          </cell>
          <cell r="AI24">
            <v>163.35</v>
          </cell>
        </row>
        <row r="25">
          <cell r="AC25">
            <v>214.85</v>
          </cell>
          <cell r="AE25">
            <v>104.44999999999999</v>
          </cell>
          <cell r="AG25">
            <v>132.85</v>
          </cell>
          <cell r="AI25">
            <v>166.2</v>
          </cell>
        </row>
        <row r="26">
          <cell r="AC26">
            <v>214.95</v>
          </cell>
          <cell r="AE26">
            <v>104.54999999999998</v>
          </cell>
          <cell r="AG26">
            <v>133.44999999999999</v>
          </cell>
          <cell r="AI26">
            <v>167.14999999999998</v>
          </cell>
        </row>
        <row r="27">
          <cell r="AC27">
            <v>232.89999999999998</v>
          </cell>
          <cell r="AE27">
            <v>104.64999999999998</v>
          </cell>
          <cell r="AG27">
            <v>135.35</v>
          </cell>
          <cell r="AI27">
            <v>179.7</v>
          </cell>
        </row>
        <row r="28">
          <cell r="AC28">
            <v>247.99999999999997</v>
          </cell>
          <cell r="AE28">
            <v>123.39999999999998</v>
          </cell>
          <cell r="AG28">
            <v>137.54999999999998</v>
          </cell>
          <cell r="AI28">
            <v>182.7</v>
          </cell>
        </row>
        <row r="29">
          <cell r="AC29">
            <v>259.84999999999997</v>
          </cell>
          <cell r="AE29">
            <v>127.19999999999997</v>
          </cell>
          <cell r="AG29">
            <v>153.19999999999999</v>
          </cell>
          <cell r="AI29">
            <v>187.79999999999998</v>
          </cell>
        </row>
        <row r="30">
          <cell r="AC30">
            <v>270.04999999999995</v>
          </cell>
          <cell r="AE30">
            <v>136.44999999999999</v>
          </cell>
          <cell r="AG30">
            <v>169.04999999999998</v>
          </cell>
          <cell r="AI30">
            <v>213.04999999999998</v>
          </cell>
        </row>
        <row r="33">
          <cell r="AC33" t="str">
            <v>CUMULATIVE (small UGAL Females)</v>
          </cell>
          <cell r="AE33"/>
          <cell r="AG33"/>
          <cell r="AI33"/>
        </row>
        <row r="34">
          <cell r="AC34" t="str">
            <v>R1</v>
          </cell>
          <cell r="AE34" t="str">
            <v>R2</v>
          </cell>
          <cell r="AG34" t="str">
            <v>R3</v>
          </cell>
          <cell r="AI34" t="str">
            <v>R4</v>
          </cell>
        </row>
        <row r="35">
          <cell r="AC35">
            <v>0</v>
          </cell>
          <cell r="AE35">
            <v>0</v>
          </cell>
          <cell r="AG35">
            <v>0</v>
          </cell>
          <cell r="AI35">
            <v>0</v>
          </cell>
        </row>
        <row r="36">
          <cell r="AC36">
            <v>1.1499999999999999</v>
          </cell>
          <cell r="AE36">
            <v>3.2</v>
          </cell>
          <cell r="AG36">
            <v>0</v>
          </cell>
          <cell r="AI36">
            <v>0.9</v>
          </cell>
        </row>
        <row r="37">
          <cell r="AC37">
            <v>2.0999999999999996</v>
          </cell>
          <cell r="AE37">
            <v>3.2</v>
          </cell>
          <cell r="AG37">
            <v>0.25</v>
          </cell>
          <cell r="AI37">
            <v>0.95000000000000007</v>
          </cell>
        </row>
        <row r="38">
          <cell r="AC38">
            <v>3.6999999999999997</v>
          </cell>
          <cell r="AE38">
            <v>3.8000000000000003</v>
          </cell>
          <cell r="AG38">
            <v>0.75</v>
          </cell>
          <cell r="AI38">
            <v>1.1000000000000001</v>
          </cell>
        </row>
        <row r="39">
          <cell r="AC39">
            <v>14.2</v>
          </cell>
          <cell r="AE39">
            <v>4.3000000000000007</v>
          </cell>
          <cell r="AG39">
            <v>2.75</v>
          </cell>
          <cell r="AI39">
            <v>1.9000000000000001</v>
          </cell>
        </row>
        <row r="40">
          <cell r="AC40">
            <v>15.35</v>
          </cell>
          <cell r="AE40">
            <v>4.3000000000000007</v>
          </cell>
          <cell r="AG40">
            <v>3.75</v>
          </cell>
          <cell r="AI40">
            <v>2.4500000000000002</v>
          </cell>
        </row>
        <row r="41">
          <cell r="AC41">
            <v>18</v>
          </cell>
          <cell r="AE41">
            <v>10.9</v>
          </cell>
          <cell r="AG41">
            <v>3.8</v>
          </cell>
          <cell r="AI41">
            <v>3.25</v>
          </cell>
        </row>
        <row r="42">
          <cell r="AC42">
            <v>18.3</v>
          </cell>
          <cell r="AE42">
            <v>13.05</v>
          </cell>
          <cell r="AG42">
            <v>3.8</v>
          </cell>
          <cell r="AI42">
            <v>3.4</v>
          </cell>
        </row>
        <row r="43">
          <cell r="AC43">
            <v>25</v>
          </cell>
          <cell r="AE43">
            <v>16.2</v>
          </cell>
          <cell r="AG43">
            <v>4.3999999999999995</v>
          </cell>
          <cell r="AI43">
            <v>5.0999999999999996</v>
          </cell>
        </row>
        <row r="44">
          <cell r="AC44">
            <v>25.85</v>
          </cell>
          <cell r="AE44">
            <v>16.55</v>
          </cell>
          <cell r="AG44">
            <v>13.849999999999998</v>
          </cell>
          <cell r="AI44">
            <v>11.2</v>
          </cell>
        </row>
        <row r="45">
          <cell r="AC45">
            <v>26</v>
          </cell>
          <cell r="AE45">
            <v>16.55</v>
          </cell>
          <cell r="AG45">
            <v>20</v>
          </cell>
          <cell r="AI45">
            <v>13.5</v>
          </cell>
        </row>
        <row r="46">
          <cell r="AC46">
            <v>27.75</v>
          </cell>
          <cell r="AE46">
            <v>16.55</v>
          </cell>
          <cell r="AG46">
            <v>23.75</v>
          </cell>
          <cell r="AI46">
            <v>32.200000000000003</v>
          </cell>
        </row>
        <row r="47">
          <cell r="AC47">
            <v>30.15</v>
          </cell>
          <cell r="AE47">
            <v>17.75</v>
          </cell>
          <cell r="AG47">
            <v>27.35</v>
          </cell>
          <cell r="AI47">
            <v>43</v>
          </cell>
        </row>
        <row r="48">
          <cell r="AC48">
            <v>31.349999999999998</v>
          </cell>
          <cell r="AE48">
            <v>19.5</v>
          </cell>
          <cell r="AG48">
            <v>33.5</v>
          </cell>
          <cell r="AI48">
            <v>55.8</v>
          </cell>
        </row>
        <row r="49">
          <cell r="AC49">
            <v>34.949999999999996</v>
          </cell>
          <cell r="AE49">
            <v>21.85</v>
          </cell>
          <cell r="AG49">
            <v>43.1</v>
          </cell>
          <cell r="AI49">
            <v>60.4</v>
          </cell>
        </row>
        <row r="50">
          <cell r="AC50">
            <v>37.499999999999993</v>
          </cell>
          <cell r="AE50">
            <v>25.35</v>
          </cell>
          <cell r="AG50">
            <v>47.45</v>
          </cell>
          <cell r="AI50">
            <v>62.5</v>
          </cell>
        </row>
        <row r="51">
          <cell r="AC51">
            <v>39.149999999999991</v>
          </cell>
          <cell r="AE51">
            <v>25.6</v>
          </cell>
          <cell r="AG51">
            <v>49.1</v>
          </cell>
          <cell r="AI51">
            <v>63.35</v>
          </cell>
        </row>
        <row r="52">
          <cell r="AC52">
            <v>39.399999999999991</v>
          </cell>
          <cell r="AE52">
            <v>27.1</v>
          </cell>
          <cell r="AG52">
            <v>49.35</v>
          </cell>
          <cell r="AI52">
            <v>65.5</v>
          </cell>
        </row>
        <row r="53">
          <cell r="AC53">
            <v>39.749999999999993</v>
          </cell>
          <cell r="AE53">
            <v>27.35</v>
          </cell>
          <cell r="AG53">
            <v>50</v>
          </cell>
          <cell r="AI53">
            <v>66.8</v>
          </cell>
        </row>
        <row r="54">
          <cell r="AC54">
            <v>42.399999999999991</v>
          </cell>
          <cell r="AE54">
            <v>27.900000000000002</v>
          </cell>
          <cell r="AG54">
            <v>50.35</v>
          </cell>
          <cell r="AI54">
            <v>67.399999999999991</v>
          </cell>
        </row>
        <row r="55">
          <cell r="AC55">
            <v>44.849999999999994</v>
          </cell>
          <cell r="AE55">
            <v>28.1</v>
          </cell>
          <cell r="AG55">
            <v>50.6</v>
          </cell>
          <cell r="AI55">
            <v>67.899999999999991</v>
          </cell>
        </row>
        <row r="56">
          <cell r="AC56">
            <v>48.8</v>
          </cell>
          <cell r="AE56">
            <v>28.5</v>
          </cell>
          <cell r="AG56">
            <v>50.95</v>
          </cell>
          <cell r="AI56">
            <v>68.399999999999991</v>
          </cell>
        </row>
        <row r="57">
          <cell r="AC57">
            <v>56.8</v>
          </cell>
          <cell r="AE57">
            <v>37.4</v>
          </cell>
          <cell r="AG57">
            <v>57.800000000000004</v>
          </cell>
          <cell r="AI57">
            <v>68.599999999999994</v>
          </cell>
        </row>
        <row r="58">
          <cell r="AC58">
            <v>62.3</v>
          </cell>
          <cell r="AE58">
            <v>42.65</v>
          </cell>
          <cell r="AG58">
            <v>71.25</v>
          </cell>
          <cell r="AI58">
            <v>70</v>
          </cell>
        </row>
        <row r="59">
          <cell r="AC59">
            <v>63.8</v>
          </cell>
          <cell r="AE59">
            <v>50.05</v>
          </cell>
          <cell r="AG59">
            <v>75.05</v>
          </cell>
          <cell r="AI59">
            <v>82.6</v>
          </cell>
        </row>
      </sheetData>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A1C4AFE-15E1-4FF8-969B-EBB9A637CDF2}">
  <we:reference id="wa200002503" version="1.0.0.0" store="en-US" storeType="OMEX"/>
  <we:alternateReferences>
    <we:reference id="wa200002503" version="1.0.0.0" store="wa200002503"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N58"/>
  <sheetViews>
    <sheetView zoomScale="90" zoomScaleNormal="90" workbookViewId="0">
      <selection activeCell="M2" sqref="M2"/>
    </sheetView>
  </sheetViews>
  <sheetFormatPr defaultRowHeight="15" x14ac:dyDescent="0.25"/>
  <cols>
    <col min="1" max="1" width="15" customWidth="1"/>
    <col min="2" max="2" width="13.5703125" customWidth="1"/>
    <col min="3" max="3" width="20.42578125" customWidth="1"/>
    <col min="4" max="4" width="17.28515625" customWidth="1"/>
    <col min="5" max="5" width="17.140625" customWidth="1"/>
    <col min="6" max="6" width="17.42578125" customWidth="1"/>
    <col min="7" max="7" width="16.5703125" customWidth="1"/>
    <col min="9" max="9" width="14.28515625" customWidth="1"/>
    <col min="10" max="10" width="19.140625" customWidth="1"/>
    <col min="11" max="11" width="18" customWidth="1"/>
    <col min="12" max="12" width="16.42578125" customWidth="1"/>
    <col min="13" max="13" width="17.7109375" customWidth="1"/>
    <col min="14" max="14" width="16.5703125" customWidth="1"/>
  </cols>
  <sheetData>
    <row r="2" spans="2:14" ht="15" customHeight="1" x14ac:dyDescent="0.25">
      <c r="B2" s="74" t="s">
        <v>102</v>
      </c>
      <c r="C2" s="64" t="s">
        <v>96</v>
      </c>
      <c r="D2" s="64"/>
      <c r="E2" s="64"/>
      <c r="F2" s="64"/>
      <c r="G2" s="64"/>
      <c r="H2" s="64"/>
      <c r="I2" s="64"/>
      <c r="J2" s="64"/>
    </row>
    <row r="3" spans="2:14" x14ac:dyDescent="0.25">
      <c r="B3" s="75"/>
      <c r="C3" s="64"/>
      <c r="D3" s="64"/>
      <c r="E3" s="64"/>
      <c r="F3" s="64"/>
      <c r="G3" s="64"/>
      <c r="H3" s="64"/>
      <c r="I3" s="64"/>
      <c r="J3" s="64"/>
    </row>
    <row r="5" spans="2:14" ht="15.75" x14ac:dyDescent="0.25">
      <c r="B5" s="72" t="s">
        <v>100</v>
      </c>
      <c r="C5" s="72"/>
      <c r="D5" s="72"/>
      <c r="E5" s="72"/>
      <c r="F5" s="72"/>
      <c r="G5" s="72"/>
      <c r="I5" s="73" t="s">
        <v>101</v>
      </c>
      <c r="J5" s="73"/>
      <c r="K5" s="73"/>
      <c r="L5" s="73"/>
      <c r="M5" s="73"/>
      <c r="N5" s="73"/>
    </row>
    <row r="6" spans="2:14" ht="15.75" x14ac:dyDescent="0.25">
      <c r="B6" s="1" t="s">
        <v>0</v>
      </c>
      <c r="C6" s="1" t="s">
        <v>1</v>
      </c>
      <c r="D6" s="1" t="s">
        <v>97</v>
      </c>
      <c r="E6" s="1" t="s">
        <v>98</v>
      </c>
      <c r="F6" s="1" t="s">
        <v>97</v>
      </c>
      <c r="G6" s="1" t="s">
        <v>99</v>
      </c>
      <c r="I6" s="1" t="s">
        <v>2</v>
      </c>
      <c r="J6" s="1" t="s">
        <v>1</v>
      </c>
      <c r="K6" s="1" t="s">
        <v>97</v>
      </c>
      <c r="L6" s="1" t="s">
        <v>98</v>
      </c>
      <c r="M6" s="1" t="s">
        <v>97</v>
      </c>
      <c r="N6" s="1" t="s">
        <v>99</v>
      </c>
    </row>
    <row r="7" spans="2:14" x14ac:dyDescent="0.25">
      <c r="B7" s="2">
        <v>1</v>
      </c>
      <c r="C7" s="2">
        <f>(63-30)/10</f>
        <v>3.3</v>
      </c>
      <c r="D7" s="2">
        <v>1.6999999999999999E-3</v>
      </c>
      <c r="E7" s="2">
        <v>2.9999999999999997E-4</v>
      </c>
      <c r="F7" s="2">
        <f>D7*1000</f>
        <v>1.7</v>
      </c>
      <c r="G7" s="2">
        <f>E7*1000</f>
        <v>0.3</v>
      </c>
      <c r="I7" s="2">
        <v>1</v>
      </c>
      <c r="J7" s="2">
        <f>(65-30)/10</f>
        <v>3.5</v>
      </c>
      <c r="K7" s="2">
        <v>2.3E-3</v>
      </c>
      <c r="L7" s="3">
        <v>8.0000000000000004E-4</v>
      </c>
      <c r="M7" s="2">
        <f>K7*1000</f>
        <v>2.2999999999999998</v>
      </c>
      <c r="N7" s="2">
        <f>L7*1000</f>
        <v>0.8</v>
      </c>
    </row>
    <row r="8" spans="2:14" x14ac:dyDescent="0.25">
      <c r="B8" s="2">
        <v>2</v>
      </c>
      <c r="C8" s="2">
        <f>(54-30)/10</f>
        <v>2.4</v>
      </c>
      <c r="D8" s="2">
        <v>6.9999999999999999E-4</v>
      </c>
      <c r="E8" s="2">
        <v>5.9999999999999995E-4</v>
      </c>
      <c r="F8" s="2">
        <f t="shared" ref="F8:G56" si="0">D8*1000</f>
        <v>0.7</v>
      </c>
      <c r="G8" s="2">
        <f t="shared" si="0"/>
        <v>0.6</v>
      </c>
      <c r="I8" s="2">
        <v>2</v>
      </c>
      <c r="J8" s="2">
        <f>(65-30)/10</f>
        <v>3.5</v>
      </c>
      <c r="K8" s="2">
        <v>2.2000000000000001E-3</v>
      </c>
      <c r="L8" s="3">
        <v>1.4E-3</v>
      </c>
      <c r="M8" s="2">
        <f t="shared" ref="M8:N56" si="1">K8*1000</f>
        <v>2.2000000000000002</v>
      </c>
      <c r="N8" s="2">
        <f t="shared" si="1"/>
        <v>1.4</v>
      </c>
    </row>
    <row r="9" spans="2:14" x14ac:dyDescent="0.25">
      <c r="B9" s="2">
        <v>3</v>
      </c>
      <c r="C9" s="2">
        <f>(51-30)/10</f>
        <v>2.1</v>
      </c>
      <c r="D9" s="2">
        <v>1E-4</v>
      </c>
      <c r="E9" s="2">
        <v>4.0000000000000002E-4</v>
      </c>
      <c r="F9" s="2">
        <f t="shared" si="0"/>
        <v>0.1</v>
      </c>
      <c r="G9" s="2">
        <f t="shared" si="0"/>
        <v>0.4</v>
      </c>
      <c r="I9" s="2">
        <v>3</v>
      </c>
      <c r="J9" s="2">
        <f>(64-30)/10</f>
        <v>3.4</v>
      </c>
      <c r="K9" s="2">
        <v>2.5999999999999999E-3</v>
      </c>
      <c r="L9" s="3">
        <v>1.4E-3</v>
      </c>
      <c r="M9" s="2">
        <f t="shared" si="1"/>
        <v>2.6</v>
      </c>
      <c r="N9" s="2">
        <f t="shared" si="1"/>
        <v>1.4</v>
      </c>
    </row>
    <row r="10" spans="2:14" x14ac:dyDescent="0.25">
      <c r="B10" s="2">
        <v>4</v>
      </c>
      <c r="C10" s="2">
        <f>(58-30)/10</f>
        <v>2.8</v>
      </c>
      <c r="D10" s="2">
        <v>1.4E-3</v>
      </c>
      <c r="E10" s="2">
        <v>8.0000000000000004E-4</v>
      </c>
      <c r="F10" s="2">
        <f t="shared" si="0"/>
        <v>1.4</v>
      </c>
      <c r="G10" s="2">
        <f t="shared" si="0"/>
        <v>0.8</v>
      </c>
      <c r="I10" s="2">
        <v>4</v>
      </c>
      <c r="J10" s="2">
        <f>(65-30)/10</f>
        <v>3.5</v>
      </c>
      <c r="K10" s="2">
        <v>2.2000000000000001E-3</v>
      </c>
      <c r="L10" s="3">
        <v>1.1999999999999999E-3</v>
      </c>
      <c r="M10" s="2">
        <f t="shared" si="1"/>
        <v>2.2000000000000002</v>
      </c>
      <c r="N10" s="2">
        <f t="shared" si="1"/>
        <v>1.2</v>
      </c>
    </row>
    <row r="11" spans="2:14" x14ac:dyDescent="0.25">
      <c r="B11" s="2">
        <v>5</v>
      </c>
      <c r="C11" s="2">
        <f>(56-30)/10</f>
        <v>2.6</v>
      </c>
      <c r="D11" s="2">
        <v>1.8E-3</v>
      </c>
      <c r="E11" s="2">
        <v>4.0000000000000002E-4</v>
      </c>
      <c r="F11" s="2">
        <f t="shared" si="0"/>
        <v>1.8</v>
      </c>
      <c r="G11" s="2">
        <f t="shared" si="0"/>
        <v>0.4</v>
      </c>
      <c r="I11" s="2">
        <v>5</v>
      </c>
      <c r="J11" s="2">
        <f>(62-30)/10</f>
        <v>3.2</v>
      </c>
      <c r="K11" s="2">
        <v>2.5000000000000001E-3</v>
      </c>
      <c r="L11" s="3">
        <v>1.4E-3</v>
      </c>
      <c r="M11" s="2">
        <f t="shared" si="1"/>
        <v>2.5</v>
      </c>
      <c r="N11" s="2">
        <f t="shared" si="1"/>
        <v>1.4</v>
      </c>
    </row>
    <row r="12" spans="2:14" x14ac:dyDescent="0.25">
      <c r="B12" s="2">
        <v>6</v>
      </c>
      <c r="C12" s="2">
        <f>(54-30)/10</f>
        <v>2.4</v>
      </c>
      <c r="D12" s="2">
        <v>1.1999999999999999E-3</v>
      </c>
      <c r="E12" s="2">
        <v>5.0000000000000001E-4</v>
      </c>
      <c r="F12" s="2">
        <f t="shared" si="0"/>
        <v>1.2</v>
      </c>
      <c r="G12" s="2">
        <f t="shared" si="0"/>
        <v>0.5</v>
      </c>
      <c r="I12" s="2">
        <v>6</v>
      </c>
      <c r="J12" s="2">
        <f>(58-30)/10</f>
        <v>2.8</v>
      </c>
      <c r="K12" s="2">
        <v>2.3999999999999998E-3</v>
      </c>
      <c r="L12" s="3">
        <v>8.9999999999999998E-4</v>
      </c>
      <c r="M12" s="2">
        <f t="shared" si="1"/>
        <v>2.4</v>
      </c>
      <c r="N12" s="2">
        <f t="shared" si="1"/>
        <v>0.9</v>
      </c>
    </row>
    <row r="13" spans="2:14" x14ac:dyDescent="0.25">
      <c r="B13" s="2">
        <v>7</v>
      </c>
      <c r="C13" s="2">
        <f>(54-26)/10</f>
        <v>2.8</v>
      </c>
      <c r="D13" s="2">
        <v>1.5E-3</v>
      </c>
      <c r="E13" s="2">
        <v>2.9999999999999997E-4</v>
      </c>
      <c r="F13" s="2">
        <f t="shared" si="0"/>
        <v>1.5</v>
      </c>
      <c r="G13" s="2">
        <f t="shared" si="0"/>
        <v>0.3</v>
      </c>
      <c r="I13" s="2">
        <v>7</v>
      </c>
      <c r="J13" s="2">
        <f>(66-30)/10</f>
        <v>3.6</v>
      </c>
      <c r="K13" s="2">
        <v>2.2000000000000001E-3</v>
      </c>
      <c r="L13" s="3">
        <v>1.1999999999999999E-3</v>
      </c>
      <c r="M13" s="2">
        <f t="shared" si="1"/>
        <v>2.2000000000000002</v>
      </c>
      <c r="N13" s="2">
        <f t="shared" si="1"/>
        <v>1.2</v>
      </c>
    </row>
    <row r="14" spans="2:14" x14ac:dyDescent="0.25">
      <c r="B14" s="2">
        <v>8</v>
      </c>
      <c r="C14" s="2">
        <f>(55-30)/10</f>
        <v>2.5</v>
      </c>
      <c r="D14" s="2">
        <v>2.0000000000000001E-4</v>
      </c>
      <c r="E14" s="2">
        <v>1E-4</v>
      </c>
      <c r="F14" s="2">
        <f t="shared" si="0"/>
        <v>0.2</v>
      </c>
      <c r="G14" s="2">
        <f t="shared" si="0"/>
        <v>0.1</v>
      </c>
      <c r="I14" s="2">
        <v>8</v>
      </c>
      <c r="J14" s="2">
        <f>(65-30)/10</f>
        <v>3.5</v>
      </c>
      <c r="K14" s="2">
        <v>2.5999999999999999E-3</v>
      </c>
      <c r="L14" s="3">
        <v>1.1000000000000001E-3</v>
      </c>
      <c r="M14" s="2">
        <f t="shared" si="1"/>
        <v>2.6</v>
      </c>
      <c r="N14" s="2">
        <f t="shared" si="1"/>
        <v>1.1000000000000001</v>
      </c>
    </row>
    <row r="15" spans="2:14" x14ac:dyDescent="0.25">
      <c r="B15" s="2">
        <v>9</v>
      </c>
      <c r="C15" s="2">
        <f>(55-30)/10</f>
        <v>2.5</v>
      </c>
      <c r="D15" s="2">
        <v>1.2999999999999999E-3</v>
      </c>
      <c r="E15" s="2">
        <v>2.0000000000000001E-4</v>
      </c>
      <c r="F15" s="2">
        <f t="shared" si="0"/>
        <v>1.3</v>
      </c>
      <c r="G15" s="2">
        <f t="shared" si="0"/>
        <v>0.2</v>
      </c>
      <c r="I15" s="2">
        <v>9</v>
      </c>
      <c r="J15" s="2">
        <f>(63-30)/10</f>
        <v>3.3</v>
      </c>
      <c r="K15" s="2">
        <v>2.8999999999999998E-3</v>
      </c>
      <c r="L15" s="3">
        <v>1E-3</v>
      </c>
      <c r="M15" s="2">
        <f t="shared" si="1"/>
        <v>2.9</v>
      </c>
      <c r="N15" s="2">
        <f t="shared" si="1"/>
        <v>1</v>
      </c>
    </row>
    <row r="16" spans="2:14" x14ac:dyDescent="0.25">
      <c r="B16" s="2">
        <v>10</v>
      </c>
      <c r="C16" s="2">
        <f>(55-30)/10</f>
        <v>2.5</v>
      </c>
      <c r="D16" s="2">
        <v>1.1000000000000001E-3</v>
      </c>
      <c r="E16" s="2">
        <v>2.0000000000000001E-4</v>
      </c>
      <c r="F16" s="2">
        <f t="shared" si="0"/>
        <v>1.1000000000000001</v>
      </c>
      <c r="G16" s="2">
        <f t="shared" si="0"/>
        <v>0.2</v>
      </c>
      <c r="I16" s="2">
        <v>10</v>
      </c>
      <c r="J16" s="2">
        <f>(63-30)/10</f>
        <v>3.3</v>
      </c>
      <c r="K16" s="2">
        <v>3.3999999999999998E-3</v>
      </c>
      <c r="L16" s="3">
        <v>1.1999999999999999E-3</v>
      </c>
      <c r="M16" s="2">
        <f t="shared" si="1"/>
        <v>3.4</v>
      </c>
      <c r="N16" s="2">
        <f t="shared" si="1"/>
        <v>1.2</v>
      </c>
    </row>
    <row r="17" spans="2:14" x14ac:dyDescent="0.25">
      <c r="B17" s="2">
        <v>11</v>
      </c>
      <c r="C17" s="2">
        <f>(57-30)/10</f>
        <v>2.7</v>
      </c>
      <c r="D17" s="2">
        <v>1.1000000000000001E-3</v>
      </c>
      <c r="E17" s="2">
        <v>2.0000000000000001E-4</v>
      </c>
      <c r="F17" s="2">
        <f t="shared" si="0"/>
        <v>1.1000000000000001</v>
      </c>
      <c r="G17" s="2">
        <f t="shared" si="0"/>
        <v>0.2</v>
      </c>
      <c r="I17" s="2">
        <v>11</v>
      </c>
      <c r="J17" s="2">
        <f>(64-30)/10</f>
        <v>3.4</v>
      </c>
      <c r="K17" s="2">
        <v>2.7000000000000001E-3</v>
      </c>
      <c r="L17" s="3">
        <v>1.1000000000000001E-3</v>
      </c>
      <c r="M17" s="2">
        <f t="shared" si="1"/>
        <v>2.7</v>
      </c>
      <c r="N17" s="2">
        <f t="shared" si="1"/>
        <v>1.1000000000000001</v>
      </c>
    </row>
    <row r="18" spans="2:14" x14ac:dyDescent="0.25">
      <c r="B18" s="2">
        <v>12</v>
      </c>
      <c r="C18" s="2">
        <f>(57-30)/10</f>
        <v>2.7</v>
      </c>
      <c r="D18" s="2">
        <v>6.9999999999999999E-4</v>
      </c>
      <c r="E18" s="2">
        <v>4.0000000000000002E-4</v>
      </c>
      <c r="F18" s="2">
        <f t="shared" si="0"/>
        <v>0.7</v>
      </c>
      <c r="G18" s="2">
        <f t="shared" si="0"/>
        <v>0.4</v>
      </c>
      <c r="I18" s="2">
        <v>12</v>
      </c>
      <c r="J18" s="2">
        <f>(65-30)/10</f>
        <v>3.5</v>
      </c>
      <c r="K18" s="2">
        <v>2.7000000000000001E-3</v>
      </c>
      <c r="L18" s="3">
        <v>1.1000000000000001E-3</v>
      </c>
      <c r="M18" s="2">
        <f t="shared" si="1"/>
        <v>2.7</v>
      </c>
      <c r="N18" s="2">
        <f t="shared" si="1"/>
        <v>1.1000000000000001</v>
      </c>
    </row>
    <row r="19" spans="2:14" x14ac:dyDescent="0.25">
      <c r="B19" s="2">
        <v>13</v>
      </c>
      <c r="C19" s="2">
        <f>(55-28)/10</f>
        <v>2.7</v>
      </c>
      <c r="D19" s="2">
        <v>2.0000000000000001E-4</v>
      </c>
      <c r="E19" s="2">
        <v>2.9999999999999997E-4</v>
      </c>
      <c r="F19" s="2">
        <f t="shared" si="0"/>
        <v>0.2</v>
      </c>
      <c r="G19" s="2">
        <f t="shared" si="0"/>
        <v>0.3</v>
      </c>
      <c r="I19" s="2">
        <v>13</v>
      </c>
      <c r="J19" s="2">
        <f>(65-30)/10</f>
        <v>3.5</v>
      </c>
      <c r="K19" s="2">
        <v>2.5999999999999999E-3</v>
      </c>
      <c r="L19" s="3">
        <v>1E-3</v>
      </c>
      <c r="M19" s="2">
        <f t="shared" si="1"/>
        <v>2.6</v>
      </c>
      <c r="N19" s="2">
        <f t="shared" si="1"/>
        <v>1</v>
      </c>
    </row>
    <row r="20" spans="2:14" x14ac:dyDescent="0.25">
      <c r="B20" s="2">
        <v>14</v>
      </c>
      <c r="C20" s="2">
        <f>(58-30)/10</f>
        <v>2.8</v>
      </c>
      <c r="D20" s="2">
        <v>1.1000000000000001E-3</v>
      </c>
      <c r="E20" s="2">
        <v>1E-4</v>
      </c>
      <c r="F20" s="2">
        <f t="shared" si="0"/>
        <v>1.1000000000000001</v>
      </c>
      <c r="G20" s="2">
        <f t="shared" si="0"/>
        <v>0.1</v>
      </c>
      <c r="I20" s="2">
        <v>14</v>
      </c>
      <c r="J20" s="2">
        <f>(55-20)/10</f>
        <v>3.5</v>
      </c>
      <c r="K20" s="3">
        <v>3.0000000000000001E-3</v>
      </c>
      <c r="L20" s="3">
        <v>1.1000000000000001E-3</v>
      </c>
      <c r="M20" s="2">
        <f t="shared" si="1"/>
        <v>3</v>
      </c>
      <c r="N20" s="2">
        <f t="shared" si="1"/>
        <v>1.1000000000000001</v>
      </c>
    </row>
    <row r="21" spans="2:14" x14ac:dyDescent="0.25">
      <c r="B21" s="2">
        <v>15</v>
      </c>
      <c r="C21" s="2">
        <f>(45-20)/10</f>
        <v>2.5</v>
      </c>
      <c r="D21" s="2">
        <v>1.6999999999999999E-3</v>
      </c>
      <c r="E21" s="2">
        <v>2.9999999999999997E-4</v>
      </c>
      <c r="F21" s="2">
        <f t="shared" si="0"/>
        <v>1.7</v>
      </c>
      <c r="G21" s="2">
        <f t="shared" si="0"/>
        <v>0.3</v>
      </c>
      <c r="I21" s="2">
        <v>15</v>
      </c>
      <c r="J21" s="2">
        <f>(54-22)/10</f>
        <v>3.2</v>
      </c>
      <c r="K21" s="2">
        <v>2.3999999999999998E-3</v>
      </c>
      <c r="L21" s="3">
        <v>1.1000000000000001E-3</v>
      </c>
      <c r="M21" s="2">
        <f t="shared" si="1"/>
        <v>2.4</v>
      </c>
      <c r="N21" s="2">
        <f t="shared" si="1"/>
        <v>1.1000000000000001</v>
      </c>
    </row>
    <row r="22" spans="2:14" x14ac:dyDescent="0.25">
      <c r="B22" s="2">
        <v>16</v>
      </c>
      <c r="C22" s="2">
        <f>(57-30)/10</f>
        <v>2.7</v>
      </c>
      <c r="D22" s="2">
        <v>2.0000000000000001E-4</v>
      </c>
      <c r="E22" s="2">
        <v>1E-4</v>
      </c>
      <c r="F22" s="2">
        <f t="shared" si="0"/>
        <v>0.2</v>
      </c>
      <c r="G22" s="2">
        <f t="shared" si="0"/>
        <v>0.1</v>
      </c>
      <c r="I22" s="2">
        <v>16</v>
      </c>
      <c r="J22" s="2">
        <f>(65-30)/10</f>
        <v>3.5</v>
      </c>
      <c r="K22" s="2">
        <v>3.0999999999999999E-3</v>
      </c>
      <c r="L22" s="3">
        <v>8.9999999999999998E-4</v>
      </c>
      <c r="M22" s="2">
        <f t="shared" si="1"/>
        <v>3.1</v>
      </c>
      <c r="N22" s="2">
        <f t="shared" si="1"/>
        <v>0.9</v>
      </c>
    </row>
    <row r="23" spans="2:14" x14ac:dyDescent="0.25">
      <c r="B23" s="2">
        <v>17</v>
      </c>
      <c r="C23" s="2">
        <f>(45-17)/10</f>
        <v>2.8</v>
      </c>
      <c r="D23" s="2">
        <v>1E-4</v>
      </c>
      <c r="E23" s="2">
        <v>1E-4</v>
      </c>
      <c r="F23" s="2">
        <f t="shared" si="0"/>
        <v>0.1</v>
      </c>
      <c r="G23" s="2">
        <f t="shared" si="0"/>
        <v>0.1</v>
      </c>
      <c r="I23" s="2">
        <v>17</v>
      </c>
      <c r="J23" s="2">
        <f>(66-30)/10</f>
        <v>3.6</v>
      </c>
      <c r="K23" s="2">
        <v>2.3E-3</v>
      </c>
      <c r="L23" s="3">
        <v>8.9999999999999998E-4</v>
      </c>
      <c r="M23" s="2">
        <f t="shared" si="1"/>
        <v>2.2999999999999998</v>
      </c>
      <c r="N23" s="2">
        <f t="shared" si="1"/>
        <v>0.9</v>
      </c>
    </row>
    <row r="24" spans="2:14" x14ac:dyDescent="0.25">
      <c r="B24" s="2">
        <v>18</v>
      </c>
      <c r="C24" s="2">
        <f>(55-24)/10</f>
        <v>3.1</v>
      </c>
      <c r="D24" s="2">
        <v>1.4E-3</v>
      </c>
      <c r="E24" s="2">
        <v>5.9999999999999995E-4</v>
      </c>
      <c r="F24" s="2">
        <f t="shared" si="0"/>
        <v>1.4</v>
      </c>
      <c r="G24" s="2">
        <f t="shared" si="0"/>
        <v>0.6</v>
      </c>
      <c r="I24" s="2">
        <v>18</v>
      </c>
      <c r="J24" s="2">
        <f>(62-30)/10</f>
        <v>3.2</v>
      </c>
      <c r="K24" s="2">
        <v>2.0999999999999999E-3</v>
      </c>
      <c r="L24" s="3">
        <v>1E-3</v>
      </c>
      <c r="M24" s="2">
        <f t="shared" si="1"/>
        <v>2.1</v>
      </c>
      <c r="N24" s="2">
        <f t="shared" si="1"/>
        <v>1</v>
      </c>
    </row>
    <row r="25" spans="2:14" x14ac:dyDescent="0.25">
      <c r="B25" s="2">
        <v>19</v>
      </c>
      <c r="C25" s="2">
        <f>(60-30)/10</f>
        <v>3</v>
      </c>
      <c r="D25" s="2">
        <v>1.1999999999999999E-3</v>
      </c>
      <c r="E25" s="2">
        <v>1E-4</v>
      </c>
      <c r="F25" s="2">
        <f t="shared" si="0"/>
        <v>1.2</v>
      </c>
      <c r="G25" s="2">
        <f t="shared" si="0"/>
        <v>0.1</v>
      </c>
      <c r="I25" s="2">
        <v>19</v>
      </c>
      <c r="J25" s="2">
        <f>(61-30)/10</f>
        <v>3.1</v>
      </c>
      <c r="K25" s="2">
        <v>2.5000000000000001E-3</v>
      </c>
      <c r="L25" s="3">
        <v>1.1999999999999999E-3</v>
      </c>
      <c r="M25" s="2">
        <f t="shared" si="1"/>
        <v>2.5</v>
      </c>
      <c r="N25" s="2">
        <f t="shared" si="1"/>
        <v>1.2</v>
      </c>
    </row>
    <row r="26" spans="2:14" x14ac:dyDescent="0.25">
      <c r="B26" s="2">
        <v>20</v>
      </c>
      <c r="C26" s="2">
        <f>(48-20)/10</f>
        <v>2.8</v>
      </c>
      <c r="D26" s="2">
        <v>2.0000000000000001E-4</v>
      </c>
      <c r="E26" s="2">
        <v>1E-4</v>
      </c>
      <c r="F26" s="2">
        <f t="shared" si="0"/>
        <v>0.2</v>
      </c>
      <c r="G26" s="2">
        <f t="shared" si="0"/>
        <v>0.1</v>
      </c>
      <c r="I26" s="2">
        <v>20</v>
      </c>
      <c r="J26" s="2">
        <f>(65-30)/10</f>
        <v>3.5</v>
      </c>
      <c r="K26" s="2">
        <v>2.7000000000000001E-3</v>
      </c>
      <c r="L26" s="3">
        <v>1.6000000000000001E-3</v>
      </c>
      <c r="M26" s="2">
        <f t="shared" si="1"/>
        <v>2.7</v>
      </c>
      <c r="N26" s="2">
        <f t="shared" si="1"/>
        <v>1.6</v>
      </c>
    </row>
    <row r="27" spans="2:14" x14ac:dyDescent="0.25">
      <c r="B27" s="2">
        <v>21</v>
      </c>
      <c r="C27" s="2">
        <f>(55-25)/10</f>
        <v>3</v>
      </c>
      <c r="D27" s="2">
        <v>1E-4</v>
      </c>
      <c r="E27" s="2">
        <v>2.0000000000000001E-4</v>
      </c>
      <c r="F27" s="2">
        <f t="shared" si="0"/>
        <v>0.1</v>
      </c>
      <c r="G27" s="2">
        <f t="shared" si="0"/>
        <v>0.2</v>
      </c>
      <c r="I27" s="2">
        <v>21</v>
      </c>
      <c r="J27" s="2">
        <f>(63-30)/10</f>
        <v>3.3</v>
      </c>
      <c r="K27" s="2">
        <v>2.5000000000000001E-3</v>
      </c>
      <c r="L27" s="3">
        <v>1.1000000000000001E-3</v>
      </c>
      <c r="M27" s="2">
        <f t="shared" si="1"/>
        <v>2.5</v>
      </c>
      <c r="N27" s="2">
        <f t="shared" si="1"/>
        <v>1.1000000000000001</v>
      </c>
    </row>
    <row r="28" spans="2:14" x14ac:dyDescent="0.25">
      <c r="B28" s="2">
        <v>22</v>
      </c>
      <c r="C28" s="2">
        <f>(53-25)/10</f>
        <v>2.8</v>
      </c>
      <c r="D28" s="2">
        <v>1.5E-3</v>
      </c>
      <c r="E28" s="2">
        <v>1E-4</v>
      </c>
      <c r="F28" s="2">
        <f t="shared" si="0"/>
        <v>1.5</v>
      </c>
      <c r="G28" s="2">
        <f t="shared" si="0"/>
        <v>0.1</v>
      </c>
      <c r="I28" s="2">
        <v>22</v>
      </c>
      <c r="J28" s="2">
        <f>(64-30)/10</f>
        <v>3.4</v>
      </c>
      <c r="K28" s="2">
        <v>2.0999999999999999E-3</v>
      </c>
      <c r="L28" s="3">
        <v>8.9999999999999998E-4</v>
      </c>
      <c r="M28" s="2">
        <f t="shared" si="1"/>
        <v>2.1</v>
      </c>
      <c r="N28" s="2">
        <f t="shared" si="1"/>
        <v>0.9</v>
      </c>
    </row>
    <row r="29" spans="2:14" x14ac:dyDescent="0.25">
      <c r="B29" s="2">
        <v>23</v>
      </c>
      <c r="C29" s="2">
        <f>(57-30)/10</f>
        <v>2.7</v>
      </c>
      <c r="D29" s="2">
        <v>1.6000000000000001E-3</v>
      </c>
      <c r="E29" s="2">
        <v>8.0000000000000004E-4</v>
      </c>
      <c r="F29" s="2">
        <f t="shared" si="0"/>
        <v>1.6</v>
      </c>
      <c r="G29" s="2">
        <f t="shared" si="0"/>
        <v>0.8</v>
      </c>
      <c r="I29" s="2">
        <v>23</v>
      </c>
      <c r="J29" s="4">
        <v>3.5</v>
      </c>
      <c r="K29" s="3">
        <v>2.3E-3</v>
      </c>
      <c r="L29" s="3">
        <v>1E-3</v>
      </c>
      <c r="M29" s="2">
        <f t="shared" si="1"/>
        <v>2.2999999999999998</v>
      </c>
      <c r="N29" s="2">
        <f t="shared" si="1"/>
        <v>1</v>
      </c>
    </row>
    <row r="30" spans="2:14" x14ac:dyDescent="0.25">
      <c r="B30" s="2">
        <v>24</v>
      </c>
      <c r="C30" s="2">
        <f>(57-30)/10</f>
        <v>2.7</v>
      </c>
      <c r="D30" s="2">
        <v>1.6000000000000001E-3</v>
      </c>
      <c r="E30" s="2">
        <v>6.9999999999999999E-4</v>
      </c>
      <c r="F30" s="2">
        <f t="shared" si="0"/>
        <v>1.6</v>
      </c>
      <c r="G30" s="2">
        <f t="shared" si="0"/>
        <v>0.7</v>
      </c>
      <c r="I30" s="2">
        <v>24</v>
      </c>
      <c r="J30" s="2">
        <f>(63-30)/10</f>
        <v>3.3</v>
      </c>
      <c r="K30" s="2">
        <v>2.0999999999999999E-3</v>
      </c>
      <c r="L30" s="3">
        <v>1.1999999999999999E-3</v>
      </c>
      <c r="M30" s="2">
        <f t="shared" si="1"/>
        <v>2.1</v>
      </c>
      <c r="N30" s="2">
        <f t="shared" si="1"/>
        <v>1.2</v>
      </c>
    </row>
    <row r="31" spans="2:14" x14ac:dyDescent="0.25">
      <c r="B31" s="2">
        <v>25</v>
      </c>
      <c r="C31" s="2">
        <f>(52-27)/10</f>
        <v>2.5</v>
      </c>
      <c r="D31" s="2">
        <v>1.8E-3</v>
      </c>
      <c r="E31" s="2">
        <v>8.0000000000000004E-4</v>
      </c>
      <c r="F31" s="2">
        <f t="shared" si="0"/>
        <v>1.8</v>
      </c>
      <c r="G31" s="2">
        <f t="shared" si="0"/>
        <v>0.8</v>
      </c>
      <c r="I31" s="2">
        <v>25</v>
      </c>
      <c r="J31" s="2">
        <f>(62-30)/10</f>
        <v>3.2</v>
      </c>
      <c r="K31" s="2">
        <v>2.8999999999999998E-3</v>
      </c>
      <c r="L31" s="3">
        <v>1.1999999999999999E-3</v>
      </c>
      <c r="M31" s="2">
        <f t="shared" si="1"/>
        <v>2.9</v>
      </c>
      <c r="N31" s="2">
        <f t="shared" si="1"/>
        <v>1.2</v>
      </c>
    </row>
    <row r="32" spans="2:14" x14ac:dyDescent="0.25">
      <c r="B32" s="2">
        <v>26</v>
      </c>
      <c r="C32" s="2">
        <f>(59-29)/10</f>
        <v>3</v>
      </c>
      <c r="D32" s="2">
        <v>1.6999999999999999E-3</v>
      </c>
      <c r="E32" s="2">
        <v>6.9999999999999999E-4</v>
      </c>
      <c r="F32" s="2">
        <f t="shared" si="0"/>
        <v>1.7</v>
      </c>
      <c r="G32" s="2">
        <f t="shared" si="0"/>
        <v>0.7</v>
      </c>
      <c r="I32" s="2">
        <v>26</v>
      </c>
      <c r="J32" s="2">
        <f>(63-30)/10</f>
        <v>3.3</v>
      </c>
      <c r="K32" s="2">
        <v>2.5999999999999999E-3</v>
      </c>
      <c r="L32" s="3">
        <v>1.4E-3</v>
      </c>
      <c r="M32" s="2">
        <f t="shared" si="1"/>
        <v>2.6</v>
      </c>
      <c r="N32" s="2">
        <f t="shared" si="1"/>
        <v>1.4</v>
      </c>
    </row>
    <row r="33" spans="2:14" x14ac:dyDescent="0.25">
      <c r="B33" s="2">
        <v>27</v>
      </c>
      <c r="C33" s="2">
        <f>(59-29)/10</f>
        <v>3</v>
      </c>
      <c r="D33" s="2">
        <v>1.5E-3</v>
      </c>
      <c r="E33" s="2">
        <v>2.9999999999999997E-4</v>
      </c>
      <c r="F33" s="2">
        <f t="shared" si="0"/>
        <v>1.5</v>
      </c>
      <c r="G33" s="2">
        <f t="shared" si="0"/>
        <v>0.3</v>
      </c>
      <c r="I33" s="2">
        <v>27</v>
      </c>
      <c r="J33" s="2">
        <f>(64-30)/10</f>
        <v>3.4</v>
      </c>
      <c r="K33" s="2">
        <v>2.7000000000000001E-3</v>
      </c>
      <c r="L33" s="3">
        <v>1.2999999999999999E-3</v>
      </c>
      <c r="M33" s="2">
        <f t="shared" si="1"/>
        <v>2.7</v>
      </c>
      <c r="N33" s="2">
        <f t="shared" si="1"/>
        <v>1.3</v>
      </c>
    </row>
    <row r="34" spans="2:14" x14ac:dyDescent="0.25">
      <c r="B34" s="2">
        <v>28</v>
      </c>
      <c r="C34" s="2">
        <f>(59-30)/10</f>
        <v>2.9</v>
      </c>
      <c r="D34" s="2">
        <v>2.3999999999999998E-3</v>
      </c>
      <c r="E34" s="2">
        <v>4.0000000000000002E-4</v>
      </c>
      <c r="F34" s="2">
        <f t="shared" si="0"/>
        <v>2.4</v>
      </c>
      <c r="G34" s="2">
        <f t="shared" si="0"/>
        <v>0.4</v>
      </c>
      <c r="I34" s="2">
        <v>28</v>
      </c>
      <c r="J34" s="2">
        <f>(64-30)/10</f>
        <v>3.4</v>
      </c>
      <c r="K34" s="2">
        <v>2.5000000000000001E-3</v>
      </c>
      <c r="L34" s="3">
        <v>1.1999999999999999E-3</v>
      </c>
      <c r="M34" s="2">
        <f t="shared" si="1"/>
        <v>2.5</v>
      </c>
      <c r="N34" s="2">
        <f t="shared" si="1"/>
        <v>1.2</v>
      </c>
    </row>
    <row r="35" spans="2:14" x14ac:dyDescent="0.25">
      <c r="B35" s="2">
        <v>29</v>
      </c>
      <c r="C35" s="2">
        <f>(58-35)/10</f>
        <v>2.2999999999999998</v>
      </c>
      <c r="D35" s="2">
        <v>1.5E-3</v>
      </c>
      <c r="E35" s="2">
        <v>5.9999999999999995E-4</v>
      </c>
      <c r="F35" s="2">
        <f t="shared" si="0"/>
        <v>1.5</v>
      </c>
      <c r="G35" s="2">
        <f t="shared" si="0"/>
        <v>0.6</v>
      </c>
      <c r="I35" s="2">
        <v>29</v>
      </c>
      <c r="J35" s="2">
        <f>(67-30)/10</f>
        <v>3.7</v>
      </c>
      <c r="K35" s="2">
        <v>2.2000000000000001E-3</v>
      </c>
      <c r="L35" s="3">
        <v>1.2999999999999999E-3</v>
      </c>
      <c r="M35" s="2">
        <f t="shared" si="1"/>
        <v>2.2000000000000002</v>
      </c>
      <c r="N35" s="2">
        <f t="shared" si="1"/>
        <v>1.3</v>
      </c>
    </row>
    <row r="36" spans="2:14" x14ac:dyDescent="0.25">
      <c r="B36" s="2">
        <v>30</v>
      </c>
      <c r="C36" s="2">
        <f>(58-30)/10</f>
        <v>2.8</v>
      </c>
      <c r="D36" s="2">
        <v>1.8E-3</v>
      </c>
      <c r="E36" s="2">
        <v>2.9999999999999997E-4</v>
      </c>
      <c r="F36" s="2">
        <f t="shared" si="0"/>
        <v>1.8</v>
      </c>
      <c r="G36" s="2">
        <f t="shared" si="0"/>
        <v>0.3</v>
      </c>
      <c r="I36" s="2">
        <v>30</v>
      </c>
      <c r="J36" s="2">
        <f>(61-30)/10</f>
        <v>3.1</v>
      </c>
      <c r="K36" s="2">
        <v>2.7000000000000001E-3</v>
      </c>
      <c r="L36" s="3">
        <v>1.1000000000000001E-3</v>
      </c>
      <c r="M36" s="2">
        <f t="shared" si="1"/>
        <v>2.7</v>
      </c>
      <c r="N36" s="2">
        <f t="shared" si="1"/>
        <v>1.1000000000000001</v>
      </c>
    </row>
    <row r="37" spans="2:14" x14ac:dyDescent="0.25">
      <c r="B37" s="2">
        <v>31</v>
      </c>
      <c r="C37" s="2">
        <f>(54-30)/10</f>
        <v>2.4</v>
      </c>
      <c r="D37" s="2">
        <v>1.1999999999999999E-3</v>
      </c>
      <c r="E37" s="2">
        <v>5.9999999999999995E-4</v>
      </c>
      <c r="F37" s="2">
        <f t="shared" si="0"/>
        <v>1.2</v>
      </c>
      <c r="G37" s="2">
        <f t="shared" si="0"/>
        <v>0.6</v>
      </c>
      <c r="I37" s="2">
        <v>31</v>
      </c>
      <c r="J37" s="2">
        <f>(66-30)/10</f>
        <v>3.6</v>
      </c>
      <c r="K37" s="2">
        <v>3.5000000000000001E-3</v>
      </c>
      <c r="L37" s="3">
        <v>1.5E-3</v>
      </c>
      <c r="M37" s="2">
        <f t="shared" si="1"/>
        <v>3.5</v>
      </c>
      <c r="N37" s="2">
        <f t="shared" si="1"/>
        <v>1.5</v>
      </c>
    </row>
    <row r="38" spans="2:14" x14ac:dyDescent="0.25">
      <c r="B38" s="2">
        <v>32</v>
      </c>
      <c r="C38" s="2">
        <f>(57-30)/10</f>
        <v>2.7</v>
      </c>
      <c r="D38" s="2">
        <v>1.5E-3</v>
      </c>
      <c r="E38" s="2">
        <v>6.9999999999999999E-4</v>
      </c>
      <c r="F38" s="2">
        <f t="shared" si="0"/>
        <v>1.5</v>
      </c>
      <c r="G38" s="2">
        <f t="shared" si="0"/>
        <v>0.7</v>
      </c>
      <c r="I38" s="2">
        <v>32</v>
      </c>
      <c r="J38" s="2">
        <f>(64-31)/10</f>
        <v>3.3</v>
      </c>
      <c r="K38" s="2">
        <v>2.3999999999999998E-3</v>
      </c>
      <c r="L38" s="3">
        <v>1.2999999999999999E-3</v>
      </c>
      <c r="M38" s="2">
        <f t="shared" si="1"/>
        <v>2.4</v>
      </c>
      <c r="N38" s="2">
        <f t="shared" si="1"/>
        <v>1.3</v>
      </c>
    </row>
    <row r="39" spans="2:14" x14ac:dyDescent="0.25">
      <c r="B39" s="2">
        <v>33</v>
      </c>
      <c r="C39" s="2">
        <f>(57-30)/10</f>
        <v>2.7</v>
      </c>
      <c r="D39" s="2">
        <v>1.2999999999999999E-3</v>
      </c>
      <c r="E39" s="2">
        <v>8.9999999999999998E-4</v>
      </c>
      <c r="F39" s="2">
        <f t="shared" si="0"/>
        <v>1.3</v>
      </c>
      <c r="G39" s="2">
        <f t="shared" si="0"/>
        <v>0.9</v>
      </c>
      <c r="I39" s="2">
        <v>33</v>
      </c>
      <c r="J39" s="2">
        <f>(65-30)/10</f>
        <v>3.5</v>
      </c>
      <c r="K39" s="2">
        <v>3.3999999999999998E-3</v>
      </c>
      <c r="L39" s="3">
        <v>8.0000000000000004E-4</v>
      </c>
      <c r="M39" s="2">
        <f t="shared" si="1"/>
        <v>3.4</v>
      </c>
      <c r="N39" s="2">
        <f t="shared" si="1"/>
        <v>0.8</v>
      </c>
    </row>
    <row r="40" spans="2:14" x14ac:dyDescent="0.25">
      <c r="B40" s="2">
        <v>34</v>
      </c>
      <c r="C40" s="2">
        <f>(59-30)/10</f>
        <v>2.9</v>
      </c>
      <c r="D40" s="2">
        <v>1.6999999999999999E-3</v>
      </c>
      <c r="E40" s="2">
        <v>8.0000000000000004E-4</v>
      </c>
      <c r="F40" s="2">
        <f t="shared" si="0"/>
        <v>1.7</v>
      </c>
      <c r="G40" s="2">
        <f t="shared" si="0"/>
        <v>0.8</v>
      </c>
      <c r="I40" s="2">
        <v>34</v>
      </c>
      <c r="J40" s="2">
        <f>(58-25)/10</f>
        <v>3.3</v>
      </c>
      <c r="K40" s="2">
        <v>2.8999999999999998E-3</v>
      </c>
      <c r="L40" s="3">
        <v>1.2999999999999999E-3</v>
      </c>
      <c r="M40" s="2">
        <f t="shared" si="1"/>
        <v>2.9</v>
      </c>
      <c r="N40" s="2">
        <f t="shared" si="1"/>
        <v>1.3</v>
      </c>
    </row>
    <row r="41" spans="2:14" x14ac:dyDescent="0.25">
      <c r="B41" s="2">
        <v>35</v>
      </c>
      <c r="C41" s="2">
        <f>(58-30)/10</f>
        <v>2.8</v>
      </c>
      <c r="D41" s="2">
        <v>1.5E-3</v>
      </c>
      <c r="E41" s="2">
        <v>5.9999999999999995E-4</v>
      </c>
      <c r="F41" s="2">
        <f t="shared" si="0"/>
        <v>1.5</v>
      </c>
      <c r="G41" s="2">
        <f t="shared" si="0"/>
        <v>0.6</v>
      </c>
      <c r="I41" s="2">
        <v>35</v>
      </c>
      <c r="J41" s="2">
        <f>(65-30)/10</f>
        <v>3.5</v>
      </c>
      <c r="K41" s="2">
        <v>2.8E-3</v>
      </c>
      <c r="L41" s="3">
        <v>1.5E-3</v>
      </c>
      <c r="M41" s="2">
        <f t="shared" si="1"/>
        <v>2.8</v>
      </c>
      <c r="N41" s="2">
        <f t="shared" si="1"/>
        <v>1.5</v>
      </c>
    </row>
    <row r="42" spans="2:14" x14ac:dyDescent="0.25">
      <c r="B42" s="2">
        <v>36</v>
      </c>
      <c r="C42" s="2">
        <f>(55-30)/10</f>
        <v>2.5</v>
      </c>
      <c r="D42" s="2">
        <v>1.4E-3</v>
      </c>
      <c r="E42" s="2">
        <v>1.1000000000000001E-3</v>
      </c>
      <c r="F42" s="2">
        <f t="shared" si="0"/>
        <v>1.4</v>
      </c>
      <c r="G42" s="2">
        <f t="shared" si="0"/>
        <v>1.1000000000000001</v>
      </c>
      <c r="I42" s="2">
        <v>36</v>
      </c>
      <c r="J42" s="2">
        <f>(62-30)/10</f>
        <v>3.2</v>
      </c>
      <c r="K42" s="2">
        <v>3.2000000000000002E-3</v>
      </c>
      <c r="L42" s="3">
        <v>1.1000000000000001E-3</v>
      </c>
      <c r="M42" s="2">
        <f t="shared" si="1"/>
        <v>3.2</v>
      </c>
      <c r="N42" s="2">
        <f t="shared" si="1"/>
        <v>1.1000000000000001</v>
      </c>
    </row>
    <row r="43" spans="2:14" x14ac:dyDescent="0.25">
      <c r="B43" s="2">
        <v>37</v>
      </c>
      <c r="C43" s="2">
        <f>(62-40)/10</f>
        <v>2.2000000000000002</v>
      </c>
      <c r="D43" s="2">
        <v>2E-3</v>
      </c>
      <c r="E43" s="2">
        <v>1.2999999999999999E-4</v>
      </c>
      <c r="F43" s="2">
        <f t="shared" si="0"/>
        <v>2</v>
      </c>
      <c r="G43" s="2">
        <f t="shared" si="0"/>
        <v>0.12999999999999998</v>
      </c>
      <c r="I43" s="2">
        <v>37</v>
      </c>
      <c r="J43" s="2">
        <f>(64-30)/10</f>
        <v>3.4</v>
      </c>
      <c r="K43" s="2">
        <v>3.0999999999999999E-3</v>
      </c>
      <c r="L43" s="3">
        <v>1.8E-3</v>
      </c>
      <c r="M43" s="2">
        <f t="shared" si="1"/>
        <v>3.1</v>
      </c>
      <c r="N43" s="2">
        <f t="shared" si="1"/>
        <v>1.8</v>
      </c>
    </row>
    <row r="44" spans="2:14" x14ac:dyDescent="0.25">
      <c r="B44" s="2">
        <v>38</v>
      </c>
      <c r="C44" s="2">
        <f>(60-30)/10</f>
        <v>3</v>
      </c>
      <c r="D44" s="2">
        <v>1.1999999999999999E-3</v>
      </c>
      <c r="E44" s="2">
        <v>5.0000000000000001E-4</v>
      </c>
      <c r="F44" s="2">
        <f t="shared" si="0"/>
        <v>1.2</v>
      </c>
      <c r="G44" s="2">
        <f t="shared" si="0"/>
        <v>0.5</v>
      </c>
      <c r="I44" s="2">
        <v>38</v>
      </c>
      <c r="J44" s="2">
        <f>(65-30)/10</f>
        <v>3.5</v>
      </c>
      <c r="K44" s="2">
        <v>3.0000000000000001E-3</v>
      </c>
      <c r="L44" s="3">
        <v>1.6000000000000001E-3</v>
      </c>
      <c r="M44" s="2">
        <f t="shared" si="1"/>
        <v>3</v>
      </c>
      <c r="N44" s="2">
        <f t="shared" si="1"/>
        <v>1.6</v>
      </c>
    </row>
    <row r="45" spans="2:14" x14ac:dyDescent="0.25">
      <c r="B45" s="2">
        <v>39</v>
      </c>
      <c r="C45" s="2">
        <f>(65-40)/10</f>
        <v>2.5</v>
      </c>
      <c r="D45" s="2">
        <v>2.7000000000000001E-3</v>
      </c>
      <c r="E45" s="2">
        <v>1.5E-3</v>
      </c>
      <c r="F45" s="2">
        <f t="shared" si="0"/>
        <v>2.7</v>
      </c>
      <c r="G45" s="2">
        <f t="shared" si="0"/>
        <v>1.5</v>
      </c>
      <c r="I45" s="2">
        <v>39</v>
      </c>
      <c r="J45" s="2">
        <f>(62-30)/10</f>
        <v>3.2</v>
      </c>
      <c r="K45" s="2">
        <v>2.2000000000000001E-3</v>
      </c>
      <c r="L45" s="3">
        <v>1.2999999999999999E-3</v>
      </c>
      <c r="M45" s="2">
        <f t="shared" si="1"/>
        <v>2.2000000000000002</v>
      </c>
      <c r="N45" s="2">
        <f t="shared" si="1"/>
        <v>1.3</v>
      </c>
    </row>
    <row r="46" spans="2:14" x14ac:dyDescent="0.25">
      <c r="B46" s="2">
        <v>40</v>
      </c>
      <c r="C46" s="2">
        <f>(57-30)/10</f>
        <v>2.7</v>
      </c>
      <c r="D46" s="2">
        <v>1.9E-3</v>
      </c>
      <c r="E46" s="2">
        <v>5.0000000000000001E-4</v>
      </c>
      <c r="F46" s="2">
        <f t="shared" si="0"/>
        <v>1.9</v>
      </c>
      <c r="G46" s="2">
        <f t="shared" si="0"/>
        <v>0.5</v>
      </c>
      <c r="I46" s="2">
        <v>40</v>
      </c>
      <c r="J46" s="2">
        <f>(63-30)/10</f>
        <v>3.3</v>
      </c>
      <c r="K46" s="2">
        <v>3.0999999999999999E-3</v>
      </c>
      <c r="L46" s="3">
        <v>1.4E-3</v>
      </c>
      <c r="M46" s="2">
        <f t="shared" si="1"/>
        <v>3.1</v>
      </c>
      <c r="N46" s="2">
        <f t="shared" si="1"/>
        <v>1.4</v>
      </c>
    </row>
    <row r="47" spans="2:14" x14ac:dyDescent="0.25">
      <c r="B47" s="2">
        <v>41</v>
      </c>
      <c r="C47" s="2">
        <f>(59-30)/10</f>
        <v>2.9</v>
      </c>
      <c r="D47" s="2">
        <v>1E-3</v>
      </c>
      <c r="E47" s="2">
        <v>2.9999999999999997E-4</v>
      </c>
      <c r="F47" s="2">
        <f t="shared" si="0"/>
        <v>1</v>
      </c>
      <c r="G47" s="2">
        <f t="shared" si="0"/>
        <v>0.3</v>
      </c>
      <c r="I47" s="2">
        <v>41</v>
      </c>
      <c r="J47" s="2">
        <f>(58-30)/10</f>
        <v>2.8</v>
      </c>
      <c r="K47" s="2">
        <v>2.8999999999999998E-3</v>
      </c>
      <c r="L47" s="3">
        <v>1.2999999999999999E-3</v>
      </c>
      <c r="M47" s="2">
        <f t="shared" si="1"/>
        <v>2.9</v>
      </c>
      <c r="N47" s="2">
        <f t="shared" si="1"/>
        <v>1.3</v>
      </c>
    </row>
    <row r="48" spans="2:14" x14ac:dyDescent="0.25">
      <c r="B48" s="2">
        <v>42</v>
      </c>
      <c r="C48" s="2">
        <f>(61-30)/10</f>
        <v>3.1</v>
      </c>
      <c r="D48" s="2">
        <v>1.4E-3</v>
      </c>
      <c r="E48" s="2">
        <v>6.9999999999999999E-4</v>
      </c>
      <c r="F48" s="2">
        <f t="shared" si="0"/>
        <v>1.4</v>
      </c>
      <c r="G48" s="2">
        <f t="shared" si="0"/>
        <v>0.7</v>
      </c>
      <c r="I48" s="2">
        <v>42</v>
      </c>
      <c r="J48" s="2">
        <f>(62-30)/10</f>
        <v>3.2</v>
      </c>
      <c r="K48" s="2">
        <v>3.5999999999999999E-3</v>
      </c>
      <c r="L48" s="3">
        <v>1.2999999999999999E-3</v>
      </c>
      <c r="M48" s="2">
        <f t="shared" si="1"/>
        <v>3.6</v>
      </c>
      <c r="N48" s="2">
        <f t="shared" si="1"/>
        <v>1.3</v>
      </c>
    </row>
    <row r="49" spans="2:14" x14ac:dyDescent="0.25">
      <c r="B49" s="2">
        <v>43</v>
      </c>
      <c r="C49" s="2">
        <f>(56-30)/10</f>
        <v>2.6</v>
      </c>
      <c r="D49" s="2">
        <v>1.5E-3</v>
      </c>
      <c r="E49" s="2">
        <v>8.0000000000000004E-4</v>
      </c>
      <c r="F49" s="2">
        <f t="shared" si="0"/>
        <v>1.5</v>
      </c>
      <c r="G49" s="2">
        <f t="shared" si="0"/>
        <v>0.8</v>
      </c>
      <c r="I49" s="2">
        <v>43</v>
      </c>
      <c r="J49" s="2">
        <f>(66-30)/10</f>
        <v>3.6</v>
      </c>
      <c r="K49" s="2">
        <v>3.2000000000000002E-3</v>
      </c>
      <c r="L49" s="3">
        <v>1.2999999999999999E-3</v>
      </c>
      <c r="M49" s="2">
        <f t="shared" si="1"/>
        <v>3.2</v>
      </c>
      <c r="N49" s="2">
        <f t="shared" si="1"/>
        <v>1.3</v>
      </c>
    </row>
    <row r="50" spans="2:14" x14ac:dyDescent="0.25">
      <c r="B50" s="2">
        <v>44</v>
      </c>
      <c r="C50" s="2">
        <f>(55-30)/10</f>
        <v>2.5</v>
      </c>
      <c r="D50" s="2">
        <v>1.6999999999999999E-3</v>
      </c>
      <c r="E50" s="2">
        <v>5.9999999999999995E-4</v>
      </c>
      <c r="F50" s="2">
        <f t="shared" si="0"/>
        <v>1.7</v>
      </c>
      <c r="G50" s="2">
        <f t="shared" si="0"/>
        <v>0.6</v>
      </c>
      <c r="I50" s="2">
        <v>44</v>
      </c>
      <c r="J50" s="2">
        <f>(65-30)/10</f>
        <v>3.5</v>
      </c>
      <c r="K50" s="3">
        <v>3.0999999999999999E-3</v>
      </c>
      <c r="L50" s="3">
        <v>1.2999999999999999E-3</v>
      </c>
      <c r="M50" s="2">
        <f t="shared" si="1"/>
        <v>3.1</v>
      </c>
      <c r="N50" s="2">
        <f t="shared" si="1"/>
        <v>1.3</v>
      </c>
    </row>
    <row r="51" spans="2:14" x14ac:dyDescent="0.25">
      <c r="B51" s="2">
        <v>45</v>
      </c>
      <c r="C51" s="2">
        <f>(60-40)/10</f>
        <v>2</v>
      </c>
      <c r="D51" s="2">
        <v>1.6000000000000001E-3</v>
      </c>
      <c r="E51" s="2">
        <v>1E-3</v>
      </c>
      <c r="F51" s="2">
        <f t="shared" si="0"/>
        <v>1.6</v>
      </c>
      <c r="G51" s="2">
        <f t="shared" si="0"/>
        <v>1</v>
      </c>
      <c r="I51" s="2">
        <v>45</v>
      </c>
      <c r="J51" s="2">
        <f>(63-30)/10</f>
        <v>3.3</v>
      </c>
      <c r="K51" s="2">
        <v>3.3999999999999998E-3</v>
      </c>
      <c r="L51" s="3">
        <v>1.1999999999999999E-3</v>
      </c>
      <c r="M51" s="2">
        <f t="shared" si="1"/>
        <v>3.4</v>
      </c>
      <c r="N51" s="2">
        <f t="shared" si="1"/>
        <v>1.2</v>
      </c>
    </row>
    <row r="52" spans="2:14" x14ac:dyDescent="0.25">
      <c r="B52" s="2">
        <v>46</v>
      </c>
      <c r="C52" s="2">
        <f>(58-30)/10</f>
        <v>2.8</v>
      </c>
      <c r="D52" s="2">
        <v>1.4E-3</v>
      </c>
      <c r="E52" s="2">
        <v>1E-3</v>
      </c>
      <c r="F52" s="2">
        <f t="shared" si="0"/>
        <v>1.4</v>
      </c>
      <c r="G52" s="2">
        <f t="shared" si="0"/>
        <v>1</v>
      </c>
      <c r="I52" s="2">
        <v>46</v>
      </c>
      <c r="J52" s="2">
        <f>(65-30)/10</f>
        <v>3.5</v>
      </c>
      <c r="K52" s="2">
        <v>3.0000000000000001E-3</v>
      </c>
      <c r="L52" s="3">
        <v>1.6000000000000001E-3</v>
      </c>
      <c r="M52" s="2">
        <f t="shared" si="1"/>
        <v>3</v>
      </c>
      <c r="N52" s="2">
        <f t="shared" si="1"/>
        <v>1.6</v>
      </c>
    </row>
    <row r="53" spans="2:14" x14ac:dyDescent="0.25">
      <c r="B53" s="2">
        <v>47</v>
      </c>
      <c r="C53" s="2">
        <f>(57-30)/10</f>
        <v>2.7</v>
      </c>
      <c r="D53" s="2">
        <v>1.2999999999999999E-3</v>
      </c>
      <c r="E53" s="2">
        <v>5.9999999999999995E-4</v>
      </c>
      <c r="F53" s="2">
        <f t="shared" si="0"/>
        <v>1.3</v>
      </c>
      <c r="G53" s="2">
        <f t="shared" si="0"/>
        <v>0.6</v>
      </c>
      <c r="I53" s="2">
        <v>47</v>
      </c>
      <c r="J53" s="2">
        <f>(64-30)/10</f>
        <v>3.4</v>
      </c>
      <c r="K53" s="2">
        <v>3.0999999999999999E-3</v>
      </c>
      <c r="L53" s="3">
        <v>1.2999999999999999E-3</v>
      </c>
      <c r="M53" s="2">
        <f t="shared" si="1"/>
        <v>3.1</v>
      </c>
      <c r="N53" s="2">
        <f t="shared" si="1"/>
        <v>1.3</v>
      </c>
    </row>
    <row r="54" spans="2:14" x14ac:dyDescent="0.25">
      <c r="B54" s="2">
        <v>48</v>
      </c>
      <c r="C54" s="2">
        <f>(60-35)/10</f>
        <v>2.5</v>
      </c>
      <c r="D54" s="2">
        <v>1.1999999999999999E-3</v>
      </c>
      <c r="E54" s="2">
        <v>5.9999999999999995E-4</v>
      </c>
      <c r="F54" s="2">
        <f t="shared" si="0"/>
        <v>1.2</v>
      </c>
      <c r="G54" s="2">
        <f t="shared" si="0"/>
        <v>0.6</v>
      </c>
      <c r="I54" s="2">
        <v>48</v>
      </c>
      <c r="J54" s="2">
        <f>(61-30)/10</f>
        <v>3.1</v>
      </c>
      <c r="K54" s="2">
        <v>2.7000000000000001E-3</v>
      </c>
      <c r="L54" s="3">
        <v>1E-3</v>
      </c>
      <c r="M54" s="2">
        <f t="shared" si="1"/>
        <v>2.7</v>
      </c>
      <c r="N54" s="2">
        <f t="shared" si="1"/>
        <v>1</v>
      </c>
    </row>
    <row r="55" spans="2:14" x14ac:dyDescent="0.25">
      <c r="B55" s="2">
        <v>49</v>
      </c>
      <c r="C55" s="2">
        <f>(57-30)/10</f>
        <v>2.7</v>
      </c>
      <c r="D55" s="2">
        <v>8.9999999999999998E-4</v>
      </c>
      <c r="E55" s="2">
        <v>6.9999999999999999E-4</v>
      </c>
      <c r="F55" s="2">
        <f t="shared" si="0"/>
        <v>0.9</v>
      </c>
      <c r="G55" s="2">
        <f t="shared" si="0"/>
        <v>0.7</v>
      </c>
      <c r="I55" s="2">
        <v>49</v>
      </c>
      <c r="J55" s="2">
        <f>(64-30)/10</f>
        <v>3.4</v>
      </c>
      <c r="K55" s="2">
        <v>3.2000000000000002E-3</v>
      </c>
      <c r="L55" s="3">
        <v>1.5E-3</v>
      </c>
      <c r="M55" s="2">
        <f t="shared" si="1"/>
        <v>3.2</v>
      </c>
      <c r="N55" s="2">
        <f t="shared" si="1"/>
        <v>1.5</v>
      </c>
    </row>
    <row r="56" spans="2:14" x14ac:dyDescent="0.25">
      <c r="B56" s="2">
        <v>50</v>
      </c>
      <c r="C56" s="2">
        <f>(57-30)/10</f>
        <v>2.7</v>
      </c>
      <c r="D56" s="2">
        <v>1.2999999999999999E-3</v>
      </c>
      <c r="E56" s="2">
        <v>2.9999999999999997E-4</v>
      </c>
      <c r="F56" s="2">
        <f t="shared" si="0"/>
        <v>1.3</v>
      </c>
      <c r="G56" s="2">
        <f t="shared" si="0"/>
        <v>0.3</v>
      </c>
      <c r="I56" s="2">
        <v>50</v>
      </c>
      <c r="J56" s="2">
        <f>(64-30)/10</f>
        <v>3.4</v>
      </c>
      <c r="K56" s="2">
        <v>2.5999999999999999E-3</v>
      </c>
      <c r="L56" s="3">
        <v>1E-3</v>
      </c>
      <c r="M56" s="2">
        <f t="shared" si="1"/>
        <v>2.6</v>
      </c>
      <c r="N56" s="2">
        <f t="shared" si="1"/>
        <v>1</v>
      </c>
    </row>
    <row r="57" spans="2:14" ht="15.75" x14ac:dyDescent="0.25">
      <c r="B57" s="1" t="s">
        <v>3</v>
      </c>
      <c r="C57" s="5">
        <f>AVERAGE(C7:C56)</f>
        <v>2.6859999999999995</v>
      </c>
      <c r="D57" s="6">
        <f>AVERAGE(D7:D56)</f>
        <v>1.2820000000000002E-3</v>
      </c>
      <c r="E57" s="6">
        <f>AVERAGE(E7:E56)</f>
        <v>4.9860000000000008E-4</v>
      </c>
      <c r="F57" s="7">
        <f>AVERAGE(F7:F56)</f>
        <v>1.2819999999999998</v>
      </c>
      <c r="G57" s="7">
        <f>AVERAGE(G7:G56)</f>
        <v>0.49860000000000004</v>
      </c>
      <c r="I57" s="1" t="s">
        <v>3</v>
      </c>
      <c r="J57" s="5">
        <f>AVERAGE(J7:J56)</f>
        <v>3.3640000000000003</v>
      </c>
      <c r="K57" s="6">
        <f>AVERAGE(K7:K56)</f>
        <v>2.728E-3</v>
      </c>
      <c r="L57" s="6">
        <f>AVERAGE(L7:L56)</f>
        <v>1.2140000000000005E-3</v>
      </c>
      <c r="M57" s="7">
        <f>AVERAGE(M7:M56)</f>
        <v>2.7279999999999998</v>
      </c>
      <c r="N57" s="7">
        <f>AVERAGE(N7:N56)</f>
        <v>1.2139999999999993</v>
      </c>
    </row>
    <row r="58" spans="2:14" x14ac:dyDescent="0.25">
      <c r="B58" s="7" t="s">
        <v>4</v>
      </c>
      <c r="C58" s="7">
        <f>_xlfn.STDEV.S(C7:C56)</f>
        <v>0.25715079352832038</v>
      </c>
      <c r="D58" s="7">
        <f t="shared" ref="D58:G58" si="2">_xlfn.STDEV.S(D7:D56)</f>
        <v>5.7947548415329339E-4</v>
      </c>
      <c r="E58" s="7">
        <f t="shared" si="2"/>
        <v>3.1058871025646691E-4</v>
      </c>
      <c r="F58" s="7">
        <f t="shared" si="2"/>
        <v>0.57947548415329353</v>
      </c>
      <c r="G58" s="7">
        <f t="shared" si="2"/>
        <v>0.31058871025646673</v>
      </c>
      <c r="I58" s="7" t="s">
        <v>4</v>
      </c>
      <c r="J58" s="7">
        <f>_xlfn.STDEV.S(J7:J56)</f>
        <v>0.18599978055725483</v>
      </c>
      <c r="K58" s="7">
        <f t="shared" ref="K58:N58" si="3">_xlfn.STDEV.S(K7:K56)</f>
        <v>4.0810162799909312E-4</v>
      </c>
      <c r="L58" s="7">
        <f t="shared" si="3"/>
        <v>2.2132255526581055E-4</v>
      </c>
      <c r="M58" s="7">
        <f t="shared" si="3"/>
        <v>0.40810162799909727</v>
      </c>
      <c r="N58" s="7">
        <f t="shared" si="3"/>
        <v>0.22132255526581371</v>
      </c>
    </row>
  </sheetData>
  <mergeCells count="4">
    <mergeCell ref="B5:G5"/>
    <mergeCell ref="I5:N5"/>
    <mergeCell ref="B2:B3"/>
    <mergeCell ref="C2:J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7C707-580E-4C53-8D8C-D693A8216811}">
  <dimension ref="B2:AY60"/>
  <sheetViews>
    <sheetView workbookViewId="0">
      <selection activeCell="D2" sqref="D2:Z2"/>
    </sheetView>
  </sheetViews>
  <sheetFormatPr defaultRowHeight="15" x14ac:dyDescent="0.25"/>
  <cols>
    <col min="37" max="37" width="18.7109375" customWidth="1"/>
    <col min="43" max="43" width="18.28515625" customWidth="1"/>
    <col min="44" max="44" width="18.85546875" customWidth="1"/>
  </cols>
  <sheetData>
    <row r="2" spans="2:45" ht="15" customHeight="1" x14ac:dyDescent="0.25">
      <c r="B2" s="62" t="s">
        <v>107</v>
      </c>
      <c r="C2" s="62"/>
      <c r="D2" s="88" t="s">
        <v>108</v>
      </c>
      <c r="E2" s="88"/>
      <c r="F2" s="88"/>
      <c r="G2" s="88"/>
      <c r="H2" s="88"/>
      <c r="I2" s="88"/>
      <c r="J2" s="88"/>
      <c r="K2" s="88"/>
      <c r="L2" s="88"/>
      <c r="M2" s="88"/>
      <c r="N2" s="88"/>
      <c r="O2" s="88"/>
      <c r="P2" s="88"/>
      <c r="Q2" s="88"/>
      <c r="R2" s="88"/>
      <c r="S2" s="88"/>
      <c r="T2" s="88"/>
      <c r="U2" s="88"/>
      <c r="V2" s="88"/>
      <c r="W2" s="88"/>
      <c r="X2" s="88"/>
      <c r="Y2" s="88"/>
      <c r="Z2" s="88"/>
      <c r="AB2" s="89" t="s">
        <v>109</v>
      </c>
      <c r="AC2" s="89"/>
      <c r="AD2" s="89"/>
      <c r="AE2" s="89"/>
      <c r="AF2" s="89"/>
      <c r="AG2" s="89"/>
      <c r="AH2" s="89"/>
      <c r="AI2" s="89"/>
      <c r="AJ2" s="89"/>
      <c r="AK2" s="89"/>
    </row>
    <row r="3" spans="2:45" x14ac:dyDescent="0.25">
      <c r="B3" s="87"/>
      <c r="C3" s="87"/>
      <c r="D3" s="87"/>
      <c r="E3" s="87"/>
      <c r="F3" s="87"/>
      <c r="G3" s="87"/>
      <c r="H3" s="87"/>
      <c r="I3" s="87"/>
      <c r="J3" s="87"/>
      <c r="K3" s="87"/>
      <c r="L3" s="87"/>
      <c r="M3" s="87"/>
      <c r="N3" s="87"/>
      <c r="O3" s="87"/>
      <c r="P3" s="87"/>
      <c r="Q3" s="87"/>
      <c r="R3" s="87"/>
      <c r="S3" s="87"/>
      <c r="T3" s="87"/>
      <c r="U3" s="87"/>
      <c r="V3" s="87"/>
      <c r="W3" s="87"/>
      <c r="X3" s="87"/>
      <c r="Y3" s="87"/>
      <c r="Z3" s="87"/>
      <c r="AB3" s="89"/>
      <c r="AC3" s="89"/>
      <c r="AD3" s="89"/>
      <c r="AE3" s="89"/>
      <c r="AF3" s="89"/>
      <c r="AG3" s="89"/>
      <c r="AH3" s="89"/>
      <c r="AI3" s="89"/>
      <c r="AJ3" s="89"/>
      <c r="AK3" s="89"/>
    </row>
    <row r="4" spans="2:45" ht="30" x14ac:dyDescent="0.25">
      <c r="B4" s="86" t="s">
        <v>60</v>
      </c>
      <c r="C4" s="55" t="s">
        <v>69</v>
      </c>
      <c r="D4" s="55"/>
      <c r="E4" s="55"/>
      <c r="F4" s="55"/>
      <c r="G4" s="55"/>
      <c r="H4" s="55"/>
      <c r="I4" s="55"/>
      <c r="J4" s="55"/>
      <c r="K4" s="55"/>
      <c r="L4" s="55"/>
      <c r="M4" s="55"/>
      <c r="N4" s="55"/>
      <c r="O4" s="55"/>
      <c r="P4" s="55"/>
      <c r="Q4" s="55"/>
      <c r="R4" s="55"/>
      <c r="S4" s="55"/>
      <c r="T4" s="55"/>
      <c r="U4" s="55"/>
      <c r="V4" s="55"/>
      <c r="W4" s="55"/>
      <c r="X4" s="55"/>
      <c r="Y4" s="2"/>
      <c r="Z4" s="2"/>
      <c r="AB4" s="58" t="s">
        <v>60</v>
      </c>
      <c r="AC4" s="58" t="s">
        <v>61</v>
      </c>
      <c r="AD4" s="58"/>
      <c r="AE4" s="58"/>
      <c r="AF4" s="58"/>
      <c r="AG4" s="58"/>
      <c r="AH4" s="58"/>
      <c r="AI4" s="58"/>
      <c r="AJ4" s="2"/>
      <c r="AK4" s="39" t="s">
        <v>70</v>
      </c>
      <c r="AS4" s="40"/>
    </row>
    <row r="5" spans="2:45" ht="15" customHeight="1" x14ac:dyDescent="0.25">
      <c r="B5" s="57"/>
      <c r="C5" s="2" t="s">
        <v>9</v>
      </c>
      <c r="D5" s="2" t="s">
        <v>9</v>
      </c>
      <c r="E5" s="2" t="s">
        <v>9</v>
      </c>
      <c r="F5" s="2" t="s">
        <v>9</v>
      </c>
      <c r="G5" s="7" t="s">
        <v>71</v>
      </c>
      <c r="H5" s="7" t="s">
        <v>72</v>
      </c>
      <c r="I5" s="2" t="s">
        <v>10</v>
      </c>
      <c r="J5" s="2" t="s">
        <v>10</v>
      </c>
      <c r="K5" s="2" t="s">
        <v>10</v>
      </c>
      <c r="L5" s="2" t="s">
        <v>10</v>
      </c>
      <c r="M5" s="7" t="s">
        <v>71</v>
      </c>
      <c r="N5" s="7" t="s">
        <v>72</v>
      </c>
      <c r="O5" s="2" t="s">
        <v>11</v>
      </c>
      <c r="P5" s="2" t="s">
        <v>11</v>
      </c>
      <c r="Q5" s="2" t="s">
        <v>11</v>
      </c>
      <c r="R5" s="2" t="s">
        <v>11</v>
      </c>
      <c r="S5" s="7" t="s">
        <v>71</v>
      </c>
      <c r="T5" s="7" t="s">
        <v>72</v>
      </c>
      <c r="U5" s="2" t="s">
        <v>12</v>
      </c>
      <c r="V5" s="2" t="s">
        <v>12</v>
      </c>
      <c r="W5" s="2" t="s">
        <v>12</v>
      </c>
      <c r="X5" s="2" t="s">
        <v>12</v>
      </c>
      <c r="Y5" s="7" t="s">
        <v>71</v>
      </c>
      <c r="Z5" s="7" t="s">
        <v>72</v>
      </c>
      <c r="AB5" s="58"/>
      <c r="AC5" s="7" t="s">
        <v>9</v>
      </c>
      <c r="AD5" s="7" t="s">
        <v>62</v>
      </c>
      <c r="AE5" s="7" t="s">
        <v>10</v>
      </c>
      <c r="AF5" s="7" t="s">
        <v>63</v>
      </c>
      <c r="AG5" s="7" t="s">
        <v>11</v>
      </c>
      <c r="AH5" s="7" t="s">
        <v>64</v>
      </c>
      <c r="AI5" s="7" t="s">
        <v>12</v>
      </c>
      <c r="AJ5" s="7" t="s">
        <v>65</v>
      </c>
      <c r="AK5" s="41">
        <v>0.25</v>
      </c>
    </row>
    <row r="6" spans="2:45" x14ac:dyDescent="0.25">
      <c r="B6" s="2">
        <v>0</v>
      </c>
      <c r="C6" s="2">
        <v>0</v>
      </c>
      <c r="D6" s="2">
        <v>0</v>
      </c>
      <c r="E6" s="2">
        <v>1</v>
      </c>
      <c r="F6" s="2">
        <v>0</v>
      </c>
      <c r="G6" s="2">
        <f>SUM(C6:F6)</f>
        <v>1</v>
      </c>
      <c r="H6" s="2">
        <f>(G6/20)</f>
        <v>0.05</v>
      </c>
      <c r="I6" s="2">
        <v>0</v>
      </c>
      <c r="J6" s="2">
        <v>0</v>
      </c>
      <c r="K6" s="2">
        <v>0</v>
      </c>
      <c r="L6" s="2">
        <v>0</v>
      </c>
      <c r="M6" s="2">
        <f>SUM(I6:L6)</f>
        <v>0</v>
      </c>
      <c r="N6" s="2">
        <f>(M6/20)</f>
        <v>0</v>
      </c>
      <c r="O6" s="2">
        <v>0</v>
      </c>
      <c r="P6" s="2">
        <v>0</v>
      </c>
      <c r="Q6" s="2">
        <v>0</v>
      </c>
      <c r="R6" s="2">
        <v>0</v>
      </c>
      <c r="S6" s="2">
        <f>SUM(O6:R6)</f>
        <v>0</v>
      </c>
      <c r="T6" s="2">
        <f>(S6/20)</f>
        <v>0</v>
      </c>
      <c r="U6" s="2">
        <v>0</v>
      </c>
      <c r="V6" s="2">
        <v>0</v>
      </c>
      <c r="W6" s="2">
        <v>0</v>
      </c>
      <c r="X6" s="2">
        <v>0</v>
      </c>
      <c r="Y6" s="2">
        <f>SUM(U6:X6)</f>
        <v>0</v>
      </c>
      <c r="Z6" s="2">
        <f>(Y6/20)</f>
        <v>0</v>
      </c>
      <c r="AB6" s="2">
        <v>0</v>
      </c>
      <c r="AC6" s="2">
        <f>SUM($H$6:H6)</f>
        <v>0.05</v>
      </c>
      <c r="AD6" s="2">
        <f>(AC6/270.05)*100</f>
        <v>1.8515089798185523E-2</v>
      </c>
      <c r="AE6" s="2">
        <f>SUM($N$6:N6)</f>
        <v>0</v>
      </c>
      <c r="AF6" s="2">
        <f>(AE6/136.45)*100</f>
        <v>0</v>
      </c>
      <c r="AG6" s="2">
        <f>SUM($T$6:T6)</f>
        <v>0</v>
      </c>
      <c r="AH6" s="2">
        <f>(AG6/169.05)*100</f>
        <v>0</v>
      </c>
      <c r="AI6" s="2">
        <f>SUM($Z$6:Z6)</f>
        <v>0</v>
      </c>
      <c r="AJ6" s="2">
        <f>(AI6/213.05)*100</f>
        <v>0</v>
      </c>
      <c r="AK6" s="42">
        <v>0.5</v>
      </c>
    </row>
    <row r="7" spans="2:45" x14ac:dyDescent="0.25">
      <c r="B7" s="2">
        <v>1</v>
      </c>
      <c r="C7" s="2">
        <v>4</v>
      </c>
      <c r="D7" s="2">
        <v>56</v>
      </c>
      <c r="E7" s="2">
        <v>69</v>
      </c>
      <c r="F7" s="2">
        <v>52</v>
      </c>
      <c r="G7" s="2">
        <f t="shared" ref="G7:G30" si="0">SUM(C7:F7)</f>
        <v>181</v>
      </c>
      <c r="H7" s="2">
        <f t="shared" ref="H7:H30" si="1">(G7/20)</f>
        <v>9.0500000000000007</v>
      </c>
      <c r="I7" s="2">
        <v>38</v>
      </c>
      <c r="J7" s="2">
        <v>47</v>
      </c>
      <c r="K7" s="2">
        <v>47</v>
      </c>
      <c r="L7" s="2">
        <v>40</v>
      </c>
      <c r="M7" s="2">
        <f t="shared" ref="M7:M30" si="2">SUM(I7:L7)</f>
        <v>172</v>
      </c>
      <c r="N7" s="2">
        <f t="shared" ref="N7:N30" si="3">(M7/20)</f>
        <v>8.6</v>
      </c>
      <c r="O7" s="2">
        <v>0</v>
      </c>
      <c r="P7" s="2">
        <v>28</v>
      </c>
      <c r="Q7" s="2">
        <v>5</v>
      </c>
      <c r="R7" s="2">
        <v>0</v>
      </c>
      <c r="S7" s="2">
        <f t="shared" ref="S7:S30" si="4">SUM(O7:R7)</f>
        <v>33</v>
      </c>
      <c r="T7" s="2">
        <f t="shared" ref="T7:T30" si="5">SUM(S7/20)</f>
        <v>1.65</v>
      </c>
      <c r="U7" s="2">
        <v>145</v>
      </c>
      <c r="V7" s="2">
        <v>161</v>
      </c>
      <c r="W7" s="2">
        <v>81</v>
      </c>
      <c r="X7" s="2">
        <v>220</v>
      </c>
      <c r="Y7" s="2">
        <f t="shared" ref="Y7:Y30" si="6">SUM(U7:X7)</f>
        <v>607</v>
      </c>
      <c r="Z7" s="2">
        <f t="shared" ref="Z7:Z30" si="7">SUM(Y7/20)</f>
        <v>30.35</v>
      </c>
      <c r="AB7" s="2">
        <v>1</v>
      </c>
      <c r="AC7" s="2">
        <f>SUM($H$6:H7)</f>
        <v>9.1000000000000014</v>
      </c>
      <c r="AD7" s="2">
        <f t="shared" ref="AD7:AD30" si="8">(AC7/270.05)*100</f>
        <v>3.3697463432697652</v>
      </c>
      <c r="AE7" s="2">
        <f>SUM($N$6:N7)</f>
        <v>8.6</v>
      </c>
      <c r="AF7" s="2">
        <f t="shared" ref="AF7:AF30" si="9">(AE7/136.45)*100</f>
        <v>6.3026749725174049</v>
      </c>
      <c r="AG7" s="2">
        <f>SUM($T$6:T7)</f>
        <v>1.65</v>
      </c>
      <c r="AH7" s="2">
        <f t="shared" ref="AH7:AH30" si="10">(AG7/169.05)*100</f>
        <v>0.97604259094942314</v>
      </c>
      <c r="AI7" s="2">
        <f>SUM($Z$6:Z7)</f>
        <v>30.35</v>
      </c>
      <c r="AJ7" s="2">
        <f t="shared" ref="AJ7:AJ30" si="11">(AI7/213.05)*100</f>
        <v>14.24548228115466</v>
      </c>
      <c r="AK7" s="43">
        <v>0.75</v>
      </c>
    </row>
    <row r="8" spans="2:45" x14ac:dyDescent="0.25">
      <c r="B8" s="2">
        <v>2</v>
      </c>
      <c r="C8" s="2">
        <v>94</v>
      </c>
      <c r="D8" s="2">
        <v>53</v>
      </c>
      <c r="E8" s="2">
        <v>0</v>
      </c>
      <c r="F8" s="2">
        <v>50</v>
      </c>
      <c r="G8" s="2">
        <f t="shared" si="0"/>
        <v>197</v>
      </c>
      <c r="H8" s="2">
        <f t="shared" si="1"/>
        <v>9.85</v>
      </c>
      <c r="I8" s="2">
        <v>59</v>
      </c>
      <c r="J8" s="2">
        <v>90</v>
      </c>
      <c r="K8" s="2">
        <v>40</v>
      </c>
      <c r="L8" s="2">
        <v>0</v>
      </c>
      <c r="M8" s="2">
        <f t="shared" si="2"/>
        <v>189</v>
      </c>
      <c r="N8" s="2">
        <f t="shared" si="3"/>
        <v>9.4499999999999993</v>
      </c>
      <c r="O8" s="2">
        <v>6</v>
      </c>
      <c r="P8" s="2">
        <v>0</v>
      </c>
      <c r="Q8" s="2">
        <v>0</v>
      </c>
      <c r="R8" s="2">
        <v>11</v>
      </c>
      <c r="S8" s="2">
        <f t="shared" si="4"/>
        <v>17</v>
      </c>
      <c r="T8" s="2">
        <f t="shared" si="5"/>
        <v>0.85</v>
      </c>
      <c r="U8" s="2">
        <v>9</v>
      </c>
      <c r="V8" s="2">
        <v>185</v>
      </c>
      <c r="W8" s="2">
        <v>38</v>
      </c>
      <c r="X8" s="2">
        <v>13</v>
      </c>
      <c r="Y8" s="2">
        <f t="shared" si="6"/>
        <v>245</v>
      </c>
      <c r="Z8" s="2">
        <f t="shared" si="7"/>
        <v>12.25</v>
      </c>
      <c r="AB8" s="2">
        <v>2</v>
      </c>
      <c r="AC8" s="2">
        <f>SUM($H$6:H8)</f>
        <v>18.950000000000003</v>
      </c>
      <c r="AD8" s="2">
        <f t="shared" si="8"/>
        <v>7.0172190335123137</v>
      </c>
      <c r="AE8" s="2">
        <f>SUM($N$6:N8)</f>
        <v>18.049999999999997</v>
      </c>
      <c r="AF8" s="2">
        <f t="shared" si="9"/>
        <v>13.228288750458042</v>
      </c>
      <c r="AG8" s="2">
        <f>SUM($T$6:T8)</f>
        <v>2.5</v>
      </c>
      <c r="AH8" s="2">
        <f t="shared" si="10"/>
        <v>1.4788524105294292</v>
      </c>
      <c r="AI8" s="2">
        <f>SUM($Z$6:Z8)</f>
        <v>42.6</v>
      </c>
      <c r="AJ8" s="2">
        <f t="shared" si="11"/>
        <v>19.995306266134712</v>
      </c>
      <c r="AK8" s="44">
        <v>0.95</v>
      </c>
    </row>
    <row r="9" spans="2:45" x14ac:dyDescent="0.25">
      <c r="B9" s="2">
        <v>3</v>
      </c>
      <c r="C9" s="2">
        <v>20</v>
      </c>
      <c r="D9" s="2">
        <v>0</v>
      </c>
      <c r="E9" s="2">
        <v>22</v>
      </c>
      <c r="F9" s="2">
        <v>26</v>
      </c>
      <c r="G9" s="2">
        <f t="shared" si="0"/>
        <v>68</v>
      </c>
      <c r="H9" s="2">
        <f t="shared" si="1"/>
        <v>3.4</v>
      </c>
      <c r="I9" s="2">
        <v>47</v>
      </c>
      <c r="J9" s="2">
        <v>31</v>
      </c>
      <c r="K9" s="2">
        <v>3</v>
      </c>
      <c r="L9" s="2">
        <v>55</v>
      </c>
      <c r="M9" s="2">
        <f t="shared" si="2"/>
        <v>136</v>
      </c>
      <c r="N9" s="2">
        <f t="shared" si="3"/>
        <v>6.8</v>
      </c>
      <c r="O9" s="2">
        <v>45</v>
      </c>
      <c r="P9" s="2">
        <v>29</v>
      </c>
      <c r="Q9" s="2">
        <v>0</v>
      </c>
      <c r="R9" s="2">
        <v>8</v>
      </c>
      <c r="S9" s="2">
        <f t="shared" si="4"/>
        <v>82</v>
      </c>
      <c r="T9" s="2">
        <f t="shared" si="5"/>
        <v>4.0999999999999996</v>
      </c>
      <c r="U9" s="2">
        <v>13</v>
      </c>
      <c r="V9" s="2">
        <v>96</v>
      </c>
      <c r="W9" s="2">
        <v>0</v>
      </c>
      <c r="X9" s="2">
        <v>0</v>
      </c>
      <c r="Y9" s="2">
        <f t="shared" si="6"/>
        <v>109</v>
      </c>
      <c r="Z9" s="2">
        <f t="shared" si="7"/>
        <v>5.45</v>
      </c>
      <c r="AB9" s="2">
        <v>3</v>
      </c>
      <c r="AC9" s="2">
        <f>SUM($H$6:H9)</f>
        <v>22.35</v>
      </c>
      <c r="AD9" s="2">
        <f t="shared" si="8"/>
        <v>8.2762451397889283</v>
      </c>
      <c r="AE9" s="2">
        <f>SUM($N$6:N9)</f>
        <v>24.849999999999998</v>
      </c>
      <c r="AF9" s="2">
        <f t="shared" si="9"/>
        <v>18.211799193843898</v>
      </c>
      <c r="AG9" s="2">
        <f>SUM($T$6:T9)</f>
        <v>6.6</v>
      </c>
      <c r="AH9" s="2">
        <f t="shared" si="10"/>
        <v>3.9041703637976926</v>
      </c>
      <c r="AI9" s="2">
        <f>SUM($Z$6:Z9)</f>
        <v>48.050000000000004</v>
      </c>
      <c r="AJ9" s="2">
        <f t="shared" si="11"/>
        <v>22.553391222717671</v>
      </c>
    </row>
    <row r="10" spans="2:45" x14ac:dyDescent="0.25">
      <c r="B10" s="2">
        <v>4</v>
      </c>
      <c r="C10" s="2">
        <v>50</v>
      </c>
      <c r="D10" s="2">
        <v>232</v>
      </c>
      <c r="E10" s="2">
        <v>181</v>
      </c>
      <c r="F10" s="2">
        <v>92</v>
      </c>
      <c r="G10" s="2">
        <f t="shared" si="0"/>
        <v>555</v>
      </c>
      <c r="H10" s="2">
        <f t="shared" si="1"/>
        <v>27.75</v>
      </c>
      <c r="I10" s="2">
        <v>8</v>
      </c>
      <c r="J10" s="2">
        <v>1</v>
      </c>
      <c r="K10" s="2">
        <v>132</v>
      </c>
      <c r="L10" s="2">
        <v>146</v>
      </c>
      <c r="M10" s="2">
        <f t="shared" si="2"/>
        <v>287</v>
      </c>
      <c r="N10" s="2">
        <f t="shared" si="3"/>
        <v>14.35</v>
      </c>
      <c r="O10" s="2">
        <v>0</v>
      </c>
      <c r="P10" s="2">
        <v>112</v>
      </c>
      <c r="Q10" s="2">
        <v>60</v>
      </c>
      <c r="R10" s="2">
        <v>105</v>
      </c>
      <c r="S10" s="2">
        <f t="shared" si="4"/>
        <v>277</v>
      </c>
      <c r="T10" s="2">
        <f t="shared" si="5"/>
        <v>13.85</v>
      </c>
      <c r="U10" s="2">
        <v>114</v>
      </c>
      <c r="V10" s="2">
        <v>23</v>
      </c>
      <c r="W10" s="2">
        <v>24</v>
      </c>
      <c r="X10" s="2">
        <v>217</v>
      </c>
      <c r="Y10" s="2">
        <f t="shared" si="6"/>
        <v>378</v>
      </c>
      <c r="Z10" s="2">
        <f t="shared" si="7"/>
        <v>18.899999999999999</v>
      </c>
      <c r="AB10" s="2">
        <v>4</v>
      </c>
      <c r="AC10" s="2">
        <f>SUM($H$6:H10)</f>
        <v>50.1</v>
      </c>
      <c r="AD10" s="2">
        <f t="shared" si="8"/>
        <v>18.552119977781892</v>
      </c>
      <c r="AE10" s="2">
        <f>SUM($N$6:N10)</f>
        <v>39.199999999999996</v>
      </c>
      <c r="AF10" s="82">
        <f t="shared" si="9"/>
        <v>28.728471967753755</v>
      </c>
      <c r="AG10" s="2">
        <f>SUM($T$6:T10)</f>
        <v>20.45</v>
      </c>
      <c r="AH10" s="2">
        <f t="shared" si="10"/>
        <v>12.097012718130729</v>
      </c>
      <c r="AI10" s="2">
        <f>SUM($Z$6:Z10)</f>
        <v>66.95</v>
      </c>
      <c r="AJ10" s="82">
        <f t="shared" si="11"/>
        <v>31.424548228115469</v>
      </c>
    </row>
    <row r="11" spans="2:45" x14ac:dyDescent="0.25">
      <c r="B11" s="2">
        <v>5</v>
      </c>
      <c r="C11" s="2">
        <v>10</v>
      </c>
      <c r="D11" s="2">
        <v>11</v>
      </c>
      <c r="E11" s="2">
        <v>264</v>
      </c>
      <c r="F11" s="2">
        <v>11</v>
      </c>
      <c r="G11" s="2">
        <f t="shared" si="0"/>
        <v>296</v>
      </c>
      <c r="H11" s="2">
        <f t="shared" si="1"/>
        <v>14.8</v>
      </c>
      <c r="I11" s="2">
        <v>0</v>
      </c>
      <c r="J11" s="2">
        <v>4</v>
      </c>
      <c r="K11" s="2">
        <v>0</v>
      </c>
      <c r="L11" s="2">
        <v>65</v>
      </c>
      <c r="M11" s="2">
        <f t="shared" si="2"/>
        <v>69</v>
      </c>
      <c r="N11" s="2">
        <f t="shared" si="3"/>
        <v>3.45</v>
      </c>
      <c r="O11" s="2">
        <v>0</v>
      </c>
      <c r="P11" s="2">
        <v>35</v>
      </c>
      <c r="Q11" s="2">
        <v>35</v>
      </c>
      <c r="R11" s="2">
        <v>32</v>
      </c>
      <c r="S11" s="2">
        <f t="shared" si="4"/>
        <v>102</v>
      </c>
      <c r="T11" s="2">
        <f t="shared" si="5"/>
        <v>5.0999999999999996</v>
      </c>
      <c r="U11" s="2">
        <v>0</v>
      </c>
      <c r="V11" s="2">
        <v>94</v>
      </c>
      <c r="W11" s="2">
        <v>4</v>
      </c>
      <c r="X11" s="2">
        <v>3</v>
      </c>
      <c r="Y11" s="2">
        <f t="shared" si="6"/>
        <v>101</v>
      </c>
      <c r="Z11" s="2">
        <f t="shared" si="7"/>
        <v>5.05</v>
      </c>
      <c r="AB11" s="2">
        <v>5</v>
      </c>
      <c r="AC11" s="2">
        <f>SUM($H$6:H11)</f>
        <v>64.900000000000006</v>
      </c>
      <c r="AD11" s="2">
        <f t="shared" si="8"/>
        <v>24.032586558044809</v>
      </c>
      <c r="AE11" s="2">
        <f>SUM($N$6:N11)</f>
        <v>42.65</v>
      </c>
      <c r="AF11" s="2">
        <f t="shared" si="9"/>
        <v>31.256870648589231</v>
      </c>
      <c r="AG11" s="2">
        <f>SUM($T$6:T11)</f>
        <v>25.549999999999997</v>
      </c>
      <c r="AH11" s="2">
        <f t="shared" si="10"/>
        <v>15.113871635610762</v>
      </c>
      <c r="AI11" s="2">
        <f>SUM($Z$6:Z11)</f>
        <v>72</v>
      </c>
      <c r="AJ11" s="2">
        <f t="shared" si="11"/>
        <v>33.794883830086832</v>
      </c>
    </row>
    <row r="12" spans="2:45" x14ac:dyDescent="0.25">
      <c r="B12" s="2">
        <v>6</v>
      </c>
      <c r="C12" s="2">
        <v>0</v>
      </c>
      <c r="D12" s="2">
        <v>0</v>
      </c>
      <c r="E12" s="2">
        <v>21</v>
      </c>
      <c r="F12" s="2">
        <v>57</v>
      </c>
      <c r="G12" s="2">
        <f t="shared" si="0"/>
        <v>78</v>
      </c>
      <c r="H12" s="2">
        <f t="shared" si="1"/>
        <v>3.9</v>
      </c>
      <c r="I12" s="2">
        <v>0</v>
      </c>
      <c r="J12" s="2">
        <v>0</v>
      </c>
      <c r="K12" s="2">
        <v>46</v>
      </c>
      <c r="L12" s="2">
        <v>18</v>
      </c>
      <c r="M12" s="2">
        <f t="shared" si="2"/>
        <v>64</v>
      </c>
      <c r="N12" s="2">
        <f t="shared" si="3"/>
        <v>3.2</v>
      </c>
      <c r="O12" s="2">
        <v>0</v>
      </c>
      <c r="P12" s="2">
        <v>0</v>
      </c>
      <c r="Q12" s="2">
        <v>57</v>
      </c>
      <c r="R12" s="2">
        <v>0</v>
      </c>
      <c r="S12" s="2">
        <f t="shared" si="4"/>
        <v>57</v>
      </c>
      <c r="T12" s="2">
        <f t="shared" si="5"/>
        <v>2.85</v>
      </c>
      <c r="U12" s="2">
        <v>20</v>
      </c>
      <c r="V12" s="2">
        <v>41</v>
      </c>
      <c r="W12" s="2">
        <v>58</v>
      </c>
      <c r="X12" s="2">
        <v>0</v>
      </c>
      <c r="Y12" s="2">
        <f t="shared" si="6"/>
        <v>119</v>
      </c>
      <c r="Z12" s="2">
        <f t="shared" si="7"/>
        <v>5.95</v>
      </c>
      <c r="AB12" s="2">
        <v>6</v>
      </c>
      <c r="AC12" s="2">
        <f>SUM($H$6:H12)</f>
        <v>68.800000000000011</v>
      </c>
      <c r="AD12" s="82">
        <f t="shared" si="8"/>
        <v>25.47676356230328</v>
      </c>
      <c r="AE12" s="2">
        <f>SUM($N$6:N12)</f>
        <v>45.85</v>
      </c>
      <c r="AF12" s="2">
        <f t="shared" si="9"/>
        <v>33.602052033711985</v>
      </c>
      <c r="AG12" s="2">
        <f>SUM($T$6:T12)</f>
        <v>28.4</v>
      </c>
      <c r="AH12" s="2">
        <f t="shared" si="10"/>
        <v>16.799763383614312</v>
      </c>
      <c r="AI12" s="2">
        <f>SUM($Z$6:Z12)</f>
        <v>77.95</v>
      </c>
      <c r="AJ12" s="2">
        <f t="shared" si="11"/>
        <v>36.587655479934291</v>
      </c>
    </row>
    <row r="13" spans="2:45" x14ac:dyDescent="0.25">
      <c r="B13" s="2">
        <v>7</v>
      </c>
      <c r="C13" s="2">
        <v>224</v>
      </c>
      <c r="D13" s="2">
        <v>0</v>
      </c>
      <c r="E13" s="2">
        <v>0</v>
      </c>
      <c r="F13" s="2">
        <v>14</v>
      </c>
      <c r="G13" s="2">
        <f t="shared" si="0"/>
        <v>238</v>
      </c>
      <c r="H13" s="2">
        <f t="shared" si="1"/>
        <v>11.9</v>
      </c>
      <c r="I13" s="2">
        <v>0</v>
      </c>
      <c r="J13" s="2">
        <v>31</v>
      </c>
      <c r="K13" s="2">
        <v>2</v>
      </c>
      <c r="L13" s="2">
        <v>0</v>
      </c>
      <c r="M13" s="2">
        <f t="shared" si="2"/>
        <v>33</v>
      </c>
      <c r="N13" s="2">
        <f t="shared" si="3"/>
        <v>1.65</v>
      </c>
      <c r="O13" s="2">
        <v>59</v>
      </c>
      <c r="P13" s="2">
        <v>0</v>
      </c>
      <c r="Q13" s="2">
        <v>21</v>
      </c>
      <c r="R13" s="2">
        <v>0</v>
      </c>
      <c r="S13" s="2">
        <f t="shared" si="4"/>
        <v>80</v>
      </c>
      <c r="T13" s="2">
        <f t="shared" si="5"/>
        <v>4</v>
      </c>
      <c r="U13" s="2">
        <v>63</v>
      </c>
      <c r="V13" s="2">
        <v>91</v>
      </c>
      <c r="W13" s="2">
        <v>8</v>
      </c>
      <c r="X13" s="2">
        <v>0</v>
      </c>
      <c r="Y13" s="2">
        <f t="shared" si="6"/>
        <v>162</v>
      </c>
      <c r="Z13" s="2">
        <f t="shared" si="7"/>
        <v>8.1</v>
      </c>
      <c r="AB13" s="2">
        <v>7</v>
      </c>
      <c r="AC13" s="2">
        <f>SUM($H$6:H13)</f>
        <v>80.700000000000017</v>
      </c>
      <c r="AD13" s="2">
        <f t="shared" si="8"/>
        <v>29.883354934271438</v>
      </c>
      <c r="AE13" s="2">
        <f>SUM($N$6:N13)</f>
        <v>47.5</v>
      </c>
      <c r="AF13" s="2">
        <f t="shared" si="9"/>
        <v>34.811286185415909</v>
      </c>
      <c r="AG13" s="2">
        <f>SUM($T$6:T13)</f>
        <v>32.4</v>
      </c>
      <c r="AH13" s="2">
        <f t="shared" si="10"/>
        <v>19.1659272404614</v>
      </c>
      <c r="AI13" s="2">
        <f>SUM($Z$6:Z13)</f>
        <v>86.05</v>
      </c>
      <c r="AJ13" s="2">
        <f t="shared" si="11"/>
        <v>40.389579910819052</v>
      </c>
    </row>
    <row r="14" spans="2:45" x14ac:dyDescent="0.25">
      <c r="B14" s="2">
        <v>8</v>
      </c>
      <c r="C14" s="2">
        <v>175</v>
      </c>
      <c r="D14" s="2">
        <v>0</v>
      </c>
      <c r="E14" s="2">
        <v>198</v>
      </c>
      <c r="F14" s="2">
        <v>254</v>
      </c>
      <c r="G14" s="2">
        <f t="shared" si="0"/>
        <v>627</v>
      </c>
      <c r="H14" s="2">
        <f t="shared" si="1"/>
        <v>31.35</v>
      </c>
      <c r="I14" s="2">
        <v>1</v>
      </c>
      <c r="J14" s="2">
        <v>438</v>
      </c>
      <c r="K14" s="2">
        <v>8</v>
      </c>
      <c r="L14" s="2">
        <v>0</v>
      </c>
      <c r="M14" s="2">
        <f t="shared" si="2"/>
        <v>447</v>
      </c>
      <c r="N14" s="2">
        <f t="shared" si="3"/>
        <v>22.35</v>
      </c>
      <c r="O14" s="2">
        <v>12</v>
      </c>
      <c r="P14" s="2">
        <v>0</v>
      </c>
      <c r="Q14" s="2">
        <v>133</v>
      </c>
      <c r="R14" s="2">
        <v>103</v>
      </c>
      <c r="S14" s="2">
        <f t="shared" si="4"/>
        <v>248</v>
      </c>
      <c r="T14" s="2">
        <f t="shared" si="5"/>
        <v>12.4</v>
      </c>
      <c r="U14" s="2">
        <v>17</v>
      </c>
      <c r="V14" s="2">
        <v>0</v>
      </c>
      <c r="W14" s="2">
        <v>71</v>
      </c>
      <c r="X14" s="2">
        <v>3</v>
      </c>
      <c r="Y14" s="2">
        <f t="shared" si="6"/>
        <v>91</v>
      </c>
      <c r="Z14" s="2">
        <f t="shared" si="7"/>
        <v>4.55</v>
      </c>
      <c r="AB14" s="2">
        <v>8</v>
      </c>
      <c r="AC14" s="2">
        <f>SUM($H$6:H14)</f>
        <v>112.05000000000001</v>
      </c>
      <c r="AD14" s="2">
        <f t="shared" si="8"/>
        <v>41.492316237733753</v>
      </c>
      <c r="AE14" s="2">
        <f>SUM($N$6:N14)</f>
        <v>69.849999999999994</v>
      </c>
      <c r="AF14" s="83">
        <f t="shared" si="9"/>
        <v>51.190912422132648</v>
      </c>
      <c r="AG14" s="2">
        <f>SUM($T$6:T14)</f>
        <v>44.8</v>
      </c>
      <c r="AH14" s="82">
        <f t="shared" si="10"/>
        <v>26.501035196687369</v>
      </c>
      <c r="AI14" s="2">
        <f>SUM($Z$6:Z14)</f>
        <v>90.6</v>
      </c>
      <c r="AJ14" s="2">
        <f t="shared" si="11"/>
        <v>42.525228819525928</v>
      </c>
    </row>
    <row r="15" spans="2:45" x14ac:dyDescent="0.25">
      <c r="B15" s="2">
        <v>9</v>
      </c>
      <c r="C15" s="2">
        <v>1</v>
      </c>
      <c r="D15" s="2">
        <v>0</v>
      </c>
      <c r="E15" s="2">
        <v>204</v>
      </c>
      <c r="F15" s="2">
        <v>10</v>
      </c>
      <c r="G15" s="2">
        <f t="shared" si="0"/>
        <v>215</v>
      </c>
      <c r="H15" s="2">
        <f t="shared" si="1"/>
        <v>10.75</v>
      </c>
      <c r="I15" s="2">
        <v>0</v>
      </c>
      <c r="J15" s="2">
        <v>0</v>
      </c>
      <c r="K15" s="2">
        <v>6</v>
      </c>
      <c r="L15" s="2">
        <v>0</v>
      </c>
      <c r="M15" s="2">
        <f t="shared" si="2"/>
        <v>6</v>
      </c>
      <c r="N15" s="2">
        <f t="shared" si="3"/>
        <v>0.3</v>
      </c>
      <c r="O15" s="2">
        <v>128</v>
      </c>
      <c r="P15" s="2">
        <v>0</v>
      </c>
      <c r="Q15" s="2">
        <v>5</v>
      </c>
      <c r="R15" s="2">
        <v>0</v>
      </c>
      <c r="S15" s="2">
        <f t="shared" si="4"/>
        <v>133</v>
      </c>
      <c r="T15" s="2">
        <f t="shared" si="5"/>
        <v>6.65</v>
      </c>
      <c r="U15" s="2">
        <v>48</v>
      </c>
      <c r="V15" s="2">
        <v>142</v>
      </c>
      <c r="W15" s="2">
        <v>1</v>
      </c>
      <c r="X15" s="2">
        <v>8</v>
      </c>
      <c r="Y15" s="2">
        <f t="shared" si="6"/>
        <v>199</v>
      </c>
      <c r="Z15" s="2">
        <f t="shared" si="7"/>
        <v>9.9499999999999993</v>
      </c>
      <c r="AB15" s="2">
        <v>9</v>
      </c>
      <c r="AC15" s="2">
        <f>SUM($H$6:H15)</f>
        <v>122.80000000000001</v>
      </c>
      <c r="AD15" s="2">
        <f t="shared" si="8"/>
        <v>45.473060544343639</v>
      </c>
      <c r="AE15" s="2">
        <f>SUM($N$6:N15)</f>
        <v>70.149999999999991</v>
      </c>
      <c r="AF15" s="2">
        <f t="shared" si="9"/>
        <v>51.410773176987902</v>
      </c>
      <c r="AG15" s="2">
        <f>SUM($T$6:T15)</f>
        <v>51.449999999999996</v>
      </c>
      <c r="AH15" s="2">
        <f t="shared" si="10"/>
        <v>30.434782608695649</v>
      </c>
      <c r="AI15" s="2">
        <f>SUM($Z$6:Z15)</f>
        <v>100.55</v>
      </c>
      <c r="AJ15" s="2">
        <f t="shared" si="11"/>
        <v>47.195494015489317</v>
      </c>
    </row>
    <row r="16" spans="2:45" x14ac:dyDescent="0.25">
      <c r="B16" s="2">
        <v>10</v>
      </c>
      <c r="C16" s="2">
        <v>9</v>
      </c>
      <c r="D16" s="2">
        <v>0</v>
      </c>
      <c r="E16" s="2">
        <v>56</v>
      </c>
      <c r="F16" s="2">
        <v>6</v>
      </c>
      <c r="G16" s="2">
        <f t="shared" si="0"/>
        <v>71</v>
      </c>
      <c r="H16" s="2">
        <f t="shared" si="1"/>
        <v>3.55</v>
      </c>
      <c r="I16" s="2">
        <v>103</v>
      </c>
      <c r="J16" s="2">
        <v>0</v>
      </c>
      <c r="K16" s="2">
        <v>84</v>
      </c>
      <c r="L16" s="2">
        <v>0</v>
      </c>
      <c r="M16" s="2">
        <f t="shared" si="2"/>
        <v>187</v>
      </c>
      <c r="N16" s="2">
        <f t="shared" si="3"/>
        <v>9.35</v>
      </c>
      <c r="O16" s="2">
        <v>0</v>
      </c>
      <c r="P16" s="2">
        <v>0</v>
      </c>
      <c r="Q16" s="2">
        <v>11</v>
      </c>
      <c r="R16" s="2">
        <v>0</v>
      </c>
      <c r="S16" s="2">
        <f t="shared" si="4"/>
        <v>11</v>
      </c>
      <c r="T16" s="2">
        <f t="shared" si="5"/>
        <v>0.55000000000000004</v>
      </c>
      <c r="U16" s="2">
        <v>1</v>
      </c>
      <c r="V16" s="2">
        <v>87</v>
      </c>
      <c r="W16" s="2">
        <v>0</v>
      </c>
      <c r="X16" s="2">
        <v>212</v>
      </c>
      <c r="Y16" s="2">
        <f t="shared" si="6"/>
        <v>300</v>
      </c>
      <c r="Z16" s="2">
        <f t="shared" si="7"/>
        <v>15</v>
      </c>
      <c r="AB16" s="2">
        <v>10</v>
      </c>
      <c r="AC16" s="2">
        <f>SUM($H$6:H16)</f>
        <v>126.35000000000001</v>
      </c>
      <c r="AD16" s="2">
        <f t="shared" si="8"/>
        <v>46.78763192001481</v>
      </c>
      <c r="AE16" s="2">
        <f>SUM($N$6:N16)</f>
        <v>79.499999999999986</v>
      </c>
      <c r="AF16" s="2">
        <f t="shared" si="9"/>
        <v>58.263100036643458</v>
      </c>
      <c r="AG16" s="2">
        <f>SUM($T$6:T16)</f>
        <v>51.999999999999993</v>
      </c>
      <c r="AH16" s="2">
        <f t="shared" si="10"/>
        <v>30.760130139012119</v>
      </c>
      <c r="AI16" s="2">
        <f>SUM($Z$6:Z16)</f>
        <v>115.55</v>
      </c>
      <c r="AJ16" s="83">
        <f t="shared" si="11"/>
        <v>54.236094813424074</v>
      </c>
    </row>
    <row r="17" spans="2:50" x14ac:dyDescent="0.25">
      <c r="B17" s="2">
        <v>11</v>
      </c>
      <c r="C17" s="2">
        <v>0</v>
      </c>
      <c r="D17" s="2">
        <v>593</v>
      </c>
      <c r="E17" s="2">
        <v>5</v>
      </c>
      <c r="F17" s="2">
        <v>0</v>
      </c>
      <c r="G17" s="2">
        <f t="shared" si="0"/>
        <v>598</v>
      </c>
      <c r="H17" s="2">
        <f t="shared" si="1"/>
        <v>29.9</v>
      </c>
      <c r="I17" s="2">
        <v>121</v>
      </c>
      <c r="J17" s="2">
        <v>0</v>
      </c>
      <c r="K17" s="2">
        <v>14</v>
      </c>
      <c r="L17" s="2">
        <v>0</v>
      </c>
      <c r="M17" s="2">
        <f t="shared" si="2"/>
        <v>135</v>
      </c>
      <c r="N17" s="2">
        <f t="shared" si="3"/>
        <v>6.75</v>
      </c>
      <c r="O17" s="2">
        <v>117</v>
      </c>
      <c r="P17" s="2">
        <v>288</v>
      </c>
      <c r="Q17" s="2">
        <v>96</v>
      </c>
      <c r="R17" s="2">
        <v>0</v>
      </c>
      <c r="S17" s="2">
        <f t="shared" si="4"/>
        <v>501</v>
      </c>
      <c r="T17" s="2">
        <f t="shared" si="5"/>
        <v>25.05</v>
      </c>
      <c r="U17" s="2">
        <v>9</v>
      </c>
      <c r="V17" s="2">
        <v>143</v>
      </c>
      <c r="W17" s="2">
        <v>40</v>
      </c>
      <c r="X17" s="2">
        <v>0</v>
      </c>
      <c r="Y17" s="2">
        <f t="shared" si="6"/>
        <v>192</v>
      </c>
      <c r="Z17" s="2">
        <f t="shared" si="7"/>
        <v>9.6</v>
      </c>
      <c r="AB17" s="2">
        <v>11</v>
      </c>
      <c r="AC17" s="2">
        <f>SUM($H$6:H17)</f>
        <v>156.25</v>
      </c>
      <c r="AD17" s="83">
        <f t="shared" si="8"/>
        <v>57.85965561932975</v>
      </c>
      <c r="AE17" s="2">
        <f>SUM($N$6:N17)</f>
        <v>86.249999999999986</v>
      </c>
      <c r="AF17" s="2">
        <f t="shared" si="9"/>
        <v>63.209967020886772</v>
      </c>
      <c r="AG17" s="2">
        <f>SUM($T$6:T17)</f>
        <v>77.05</v>
      </c>
      <c r="AH17" s="2">
        <f t="shared" si="10"/>
        <v>45.578231292517003</v>
      </c>
      <c r="AI17" s="2">
        <f>SUM($Z$6:Z17)</f>
        <v>125.14999999999999</v>
      </c>
      <c r="AJ17" s="2">
        <f t="shared" si="11"/>
        <v>58.742079324102313</v>
      </c>
    </row>
    <row r="18" spans="2:50" x14ac:dyDescent="0.25">
      <c r="B18" s="2">
        <v>12</v>
      </c>
      <c r="C18" s="2">
        <v>268</v>
      </c>
      <c r="D18" s="2">
        <v>0</v>
      </c>
      <c r="E18" s="2">
        <v>19</v>
      </c>
      <c r="F18" s="2">
        <v>37</v>
      </c>
      <c r="G18" s="2">
        <f t="shared" si="0"/>
        <v>324</v>
      </c>
      <c r="H18" s="2">
        <f t="shared" si="1"/>
        <v>16.2</v>
      </c>
      <c r="I18" s="2">
        <v>1</v>
      </c>
      <c r="J18" s="2">
        <v>0</v>
      </c>
      <c r="K18" s="2">
        <v>0</v>
      </c>
      <c r="L18" s="2">
        <v>0</v>
      </c>
      <c r="M18" s="2">
        <f t="shared" si="2"/>
        <v>1</v>
      </c>
      <c r="N18" s="2">
        <f t="shared" si="3"/>
        <v>0.05</v>
      </c>
      <c r="O18" s="2">
        <v>4</v>
      </c>
      <c r="P18" s="2">
        <v>0</v>
      </c>
      <c r="Q18" s="2">
        <v>4</v>
      </c>
      <c r="R18" s="2">
        <v>0</v>
      </c>
      <c r="S18" s="2">
        <f t="shared" si="4"/>
        <v>8</v>
      </c>
      <c r="T18" s="2">
        <f t="shared" si="5"/>
        <v>0.4</v>
      </c>
      <c r="U18" s="2">
        <v>258</v>
      </c>
      <c r="V18" s="2">
        <v>133</v>
      </c>
      <c r="W18" s="2">
        <v>0</v>
      </c>
      <c r="X18" s="2">
        <v>45</v>
      </c>
      <c r="Y18" s="2">
        <f t="shared" si="6"/>
        <v>436</v>
      </c>
      <c r="Z18" s="2">
        <f t="shared" si="7"/>
        <v>21.8</v>
      </c>
      <c r="AB18" s="2">
        <v>12</v>
      </c>
      <c r="AC18" s="2">
        <f>SUM($H$6:H18)</f>
        <v>172.45</v>
      </c>
      <c r="AD18" s="2">
        <f t="shared" si="8"/>
        <v>63.858544713941853</v>
      </c>
      <c r="AE18" s="2">
        <f>SUM($N$6:N18)</f>
        <v>86.299999999999983</v>
      </c>
      <c r="AF18" s="2">
        <f t="shared" si="9"/>
        <v>63.246610480029311</v>
      </c>
      <c r="AG18" s="2">
        <f>SUM($T$6:T18)</f>
        <v>77.45</v>
      </c>
      <c r="AH18" s="2">
        <f t="shared" si="10"/>
        <v>45.814847678201716</v>
      </c>
      <c r="AI18" s="2">
        <f>SUM($Z$6:Z18)</f>
        <v>146.94999999999999</v>
      </c>
      <c r="AJ18" s="2">
        <f t="shared" si="11"/>
        <v>68.974419150434159</v>
      </c>
    </row>
    <row r="19" spans="2:50" x14ac:dyDescent="0.25">
      <c r="B19" s="2">
        <v>13</v>
      </c>
      <c r="C19" s="2">
        <v>0</v>
      </c>
      <c r="D19" s="2">
        <v>5</v>
      </c>
      <c r="E19" s="2">
        <v>2</v>
      </c>
      <c r="F19" s="2">
        <v>0</v>
      </c>
      <c r="G19" s="2">
        <f t="shared" si="0"/>
        <v>7</v>
      </c>
      <c r="H19" s="2">
        <f t="shared" si="1"/>
        <v>0.35</v>
      </c>
      <c r="I19" s="2">
        <v>0</v>
      </c>
      <c r="J19" s="2">
        <v>0</v>
      </c>
      <c r="K19" s="2">
        <v>0</v>
      </c>
      <c r="L19" s="2">
        <v>0</v>
      </c>
      <c r="M19" s="2">
        <f t="shared" si="2"/>
        <v>0</v>
      </c>
      <c r="N19" s="2">
        <f t="shared" si="3"/>
        <v>0</v>
      </c>
      <c r="O19" s="2">
        <v>0</v>
      </c>
      <c r="P19" s="2">
        <v>6</v>
      </c>
      <c r="Q19" s="2">
        <v>102</v>
      </c>
      <c r="R19" s="2">
        <v>275</v>
      </c>
      <c r="S19" s="2">
        <f t="shared" si="4"/>
        <v>383</v>
      </c>
      <c r="T19" s="2">
        <f t="shared" si="5"/>
        <v>19.149999999999999</v>
      </c>
      <c r="U19" s="2">
        <v>30</v>
      </c>
      <c r="V19" s="2">
        <v>34</v>
      </c>
      <c r="W19" s="2">
        <v>0</v>
      </c>
      <c r="X19" s="2">
        <v>48</v>
      </c>
      <c r="Y19" s="2">
        <f t="shared" si="6"/>
        <v>112</v>
      </c>
      <c r="Z19" s="2">
        <f t="shared" si="7"/>
        <v>5.6</v>
      </c>
      <c r="AB19" s="2">
        <v>13</v>
      </c>
      <c r="AC19" s="2">
        <f>SUM($H$6:H19)</f>
        <v>172.79999999999998</v>
      </c>
      <c r="AD19" s="2">
        <f t="shared" si="8"/>
        <v>63.988150342529146</v>
      </c>
      <c r="AE19" s="2">
        <f>SUM($N$6:N19)</f>
        <v>86.299999999999983</v>
      </c>
      <c r="AF19" s="2">
        <f t="shared" si="9"/>
        <v>63.246610480029311</v>
      </c>
      <c r="AG19" s="2">
        <f>SUM($T$6:T19)</f>
        <v>96.6</v>
      </c>
      <c r="AH19" s="83">
        <f t="shared" si="10"/>
        <v>57.142857142857139</v>
      </c>
      <c r="AI19" s="2">
        <f>SUM($Z$6:Z19)</f>
        <v>152.54999999999998</v>
      </c>
      <c r="AJ19" s="2">
        <f t="shared" si="11"/>
        <v>71.602910114996462</v>
      </c>
    </row>
    <row r="20" spans="2:50" x14ac:dyDescent="0.25">
      <c r="B20" s="2">
        <v>14</v>
      </c>
      <c r="C20" s="2">
        <v>8</v>
      </c>
      <c r="D20" s="2">
        <v>0</v>
      </c>
      <c r="E20" s="2">
        <v>30</v>
      </c>
      <c r="F20" s="2">
        <v>129</v>
      </c>
      <c r="G20" s="2">
        <f t="shared" si="0"/>
        <v>167</v>
      </c>
      <c r="H20" s="2">
        <f t="shared" si="1"/>
        <v>8.35</v>
      </c>
      <c r="I20" s="2">
        <v>0</v>
      </c>
      <c r="J20" s="2">
        <v>5</v>
      </c>
      <c r="K20" s="2">
        <v>88</v>
      </c>
      <c r="L20" s="2">
        <v>0</v>
      </c>
      <c r="M20" s="2">
        <f t="shared" si="2"/>
        <v>93</v>
      </c>
      <c r="N20" s="2">
        <f t="shared" si="3"/>
        <v>4.6500000000000004</v>
      </c>
      <c r="O20" s="2">
        <v>7</v>
      </c>
      <c r="P20" s="2">
        <v>0</v>
      </c>
      <c r="Q20" s="2">
        <v>97</v>
      </c>
      <c r="R20" s="2">
        <v>32</v>
      </c>
      <c r="S20" s="2">
        <f t="shared" si="4"/>
        <v>136</v>
      </c>
      <c r="T20" s="2">
        <f t="shared" si="5"/>
        <v>6.8</v>
      </c>
      <c r="U20" s="2">
        <v>0</v>
      </c>
      <c r="V20" s="2">
        <v>0</v>
      </c>
      <c r="W20" s="2">
        <v>0</v>
      </c>
      <c r="X20" s="2">
        <v>0</v>
      </c>
      <c r="Y20" s="2">
        <f t="shared" si="6"/>
        <v>0</v>
      </c>
      <c r="Z20" s="2">
        <f t="shared" si="7"/>
        <v>0</v>
      </c>
      <c r="AB20" s="2">
        <v>14</v>
      </c>
      <c r="AC20" s="2">
        <f>SUM($H$6:H20)</f>
        <v>181.14999999999998</v>
      </c>
      <c r="AD20" s="2">
        <f t="shared" si="8"/>
        <v>67.080170338826122</v>
      </c>
      <c r="AE20" s="2">
        <f>SUM($N$6:N20)</f>
        <v>90.949999999999989</v>
      </c>
      <c r="AF20" s="2">
        <f t="shared" si="9"/>
        <v>66.654452180285816</v>
      </c>
      <c r="AG20" s="2">
        <f>SUM($T$6:T20)</f>
        <v>103.39999999999999</v>
      </c>
      <c r="AH20" s="2">
        <f t="shared" si="10"/>
        <v>61.165335699497177</v>
      </c>
      <c r="AI20" s="2">
        <f>SUM($Z$6:Z20)</f>
        <v>152.54999999999998</v>
      </c>
      <c r="AJ20" s="2">
        <f t="shared" si="11"/>
        <v>71.602910114996462</v>
      </c>
    </row>
    <row r="21" spans="2:50" x14ac:dyDescent="0.25">
      <c r="B21" s="2">
        <v>15</v>
      </c>
      <c r="C21" s="2">
        <v>0</v>
      </c>
      <c r="D21" s="2">
        <v>392</v>
      </c>
      <c r="E21" s="2">
        <v>0</v>
      </c>
      <c r="F21" s="2">
        <v>9</v>
      </c>
      <c r="G21" s="2">
        <f t="shared" si="0"/>
        <v>401</v>
      </c>
      <c r="H21" s="2">
        <f t="shared" si="1"/>
        <v>20.05</v>
      </c>
      <c r="I21" s="2">
        <v>0</v>
      </c>
      <c r="J21" s="2">
        <v>0</v>
      </c>
      <c r="K21" s="2">
        <v>0</v>
      </c>
      <c r="L21" s="2">
        <v>0</v>
      </c>
      <c r="M21" s="2">
        <f t="shared" si="2"/>
        <v>0</v>
      </c>
      <c r="N21" s="2">
        <f t="shared" si="3"/>
        <v>0</v>
      </c>
      <c r="O21" s="2">
        <v>0</v>
      </c>
      <c r="P21" s="2">
        <v>0</v>
      </c>
      <c r="Q21" s="2">
        <v>0</v>
      </c>
      <c r="R21" s="2">
        <v>8</v>
      </c>
      <c r="S21" s="2">
        <f t="shared" si="4"/>
        <v>8</v>
      </c>
      <c r="T21" s="2">
        <f t="shared" si="5"/>
        <v>0.4</v>
      </c>
      <c r="U21" s="2">
        <v>42</v>
      </c>
      <c r="V21" s="2">
        <v>91</v>
      </c>
      <c r="W21" s="2">
        <v>0</v>
      </c>
      <c r="X21" s="2">
        <v>0</v>
      </c>
      <c r="Y21" s="2">
        <f t="shared" si="6"/>
        <v>133</v>
      </c>
      <c r="Z21" s="2">
        <f t="shared" si="7"/>
        <v>6.65</v>
      </c>
      <c r="AB21" s="2">
        <v>15</v>
      </c>
      <c r="AC21" s="2">
        <f>SUM($H$6:H21)</f>
        <v>201.2</v>
      </c>
      <c r="AD21" s="2">
        <f t="shared" si="8"/>
        <v>74.504721347898524</v>
      </c>
      <c r="AE21" s="2">
        <f>SUM($N$6:N21)</f>
        <v>90.949999999999989</v>
      </c>
      <c r="AF21" s="2">
        <f t="shared" si="9"/>
        <v>66.654452180285816</v>
      </c>
      <c r="AG21" s="2">
        <f>SUM($T$6:T21)</f>
        <v>103.8</v>
      </c>
      <c r="AH21" s="2">
        <f t="shared" si="10"/>
        <v>61.40195208518189</v>
      </c>
      <c r="AI21" s="2">
        <f>SUM($Z$6:Z21)</f>
        <v>159.19999999999999</v>
      </c>
      <c r="AJ21" s="2">
        <f t="shared" si="11"/>
        <v>74.724243135414213</v>
      </c>
    </row>
    <row r="22" spans="2:50" x14ac:dyDescent="0.25">
      <c r="B22" s="2">
        <v>16</v>
      </c>
      <c r="C22" s="2">
        <v>177</v>
      </c>
      <c r="D22" s="2">
        <v>0</v>
      </c>
      <c r="E22" s="2">
        <v>9</v>
      </c>
      <c r="F22" s="2">
        <v>10</v>
      </c>
      <c r="G22" s="2">
        <f t="shared" si="0"/>
        <v>196</v>
      </c>
      <c r="H22" s="2">
        <f t="shared" si="1"/>
        <v>9.8000000000000007</v>
      </c>
      <c r="I22" s="2">
        <v>5</v>
      </c>
      <c r="J22" s="2">
        <v>0</v>
      </c>
      <c r="K22" s="2">
        <v>11</v>
      </c>
      <c r="L22" s="2">
        <v>217</v>
      </c>
      <c r="M22" s="2">
        <f t="shared" si="2"/>
        <v>233</v>
      </c>
      <c r="N22" s="2">
        <f t="shared" si="3"/>
        <v>11.65</v>
      </c>
      <c r="O22" s="2">
        <v>0</v>
      </c>
      <c r="P22" s="2">
        <v>0</v>
      </c>
      <c r="Q22" s="2">
        <v>0</v>
      </c>
      <c r="R22" s="2">
        <v>0</v>
      </c>
      <c r="S22" s="2">
        <f t="shared" si="4"/>
        <v>0</v>
      </c>
      <c r="T22" s="2">
        <f t="shared" si="5"/>
        <v>0</v>
      </c>
      <c r="U22" s="2">
        <v>68</v>
      </c>
      <c r="V22" s="2">
        <v>0</v>
      </c>
      <c r="W22" s="2">
        <v>0</v>
      </c>
      <c r="X22" s="2">
        <v>0</v>
      </c>
      <c r="Y22" s="2">
        <f t="shared" si="6"/>
        <v>68</v>
      </c>
      <c r="Z22" s="2">
        <f t="shared" si="7"/>
        <v>3.4</v>
      </c>
      <c r="AB22" s="2">
        <v>16</v>
      </c>
      <c r="AC22" s="2">
        <f>SUM($H$6:H22)</f>
        <v>211</v>
      </c>
      <c r="AD22" s="84">
        <f t="shared" si="8"/>
        <v>78.133678948342904</v>
      </c>
      <c r="AE22" s="2">
        <f>SUM($N$6:N22)</f>
        <v>102.6</v>
      </c>
      <c r="AF22" s="84">
        <f t="shared" si="9"/>
        <v>75.19237816049835</v>
      </c>
      <c r="AG22" s="2">
        <f>SUM($T$6:T22)</f>
        <v>103.8</v>
      </c>
      <c r="AH22" s="2">
        <f t="shared" si="10"/>
        <v>61.40195208518189</v>
      </c>
      <c r="AI22" s="2">
        <f>SUM($Z$6:Z22)</f>
        <v>162.6</v>
      </c>
      <c r="AJ22" s="84">
        <f t="shared" si="11"/>
        <v>76.320112649612753</v>
      </c>
    </row>
    <row r="23" spans="2:50" x14ac:dyDescent="0.25">
      <c r="B23" s="2">
        <v>17</v>
      </c>
      <c r="C23" s="2">
        <v>0</v>
      </c>
      <c r="D23" s="2">
        <v>8</v>
      </c>
      <c r="E23" s="2">
        <v>0</v>
      </c>
      <c r="F23" s="2">
        <v>13</v>
      </c>
      <c r="G23" s="2">
        <f t="shared" si="0"/>
        <v>21</v>
      </c>
      <c r="H23" s="2">
        <f t="shared" si="1"/>
        <v>1.05</v>
      </c>
      <c r="I23" s="2">
        <v>7</v>
      </c>
      <c r="J23" s="2">
        <v>6</v>
      </c>
      <c r="K23" s="2">
        <v>2</v>
      </c>
      <c r="L23" s="2">
        <v>5</v>
      </c>
      <c r="M23" s="2">
        <f t="shared" si="2"/>
        <v>20</v>
      </c>
      <c r="N23" s="2">
        <f t="shared" si="3"/>
        <v>1</v>
      </c>
      <c r="O23" s="2">
        <v>2</v>
      </c>
      <c r="P23" s="2">
        <v>131</v>
      </c>
      <c r="Q23" s="2">
        <v>16</v>
      </c>
      <c r="R23" s="2">
        <v>0</v>
      </c>
      <c r="S23" s="2">
        <f t="shared" si="4"/>
        <v>149</v>
      </c>
      <c r="T23" s="2">
        <f t="shared" si="5"/>
        <v>7.45</v>
      </c>
      <c r="U23" s="2">
        <v>5</v>
      </c>
      <c r="V23" s="2">
        <v>3</v>
      </c>
      <c r="W23" s="2">
        <v>0</v>
      </c>
      <c r="X23" s="2">
        <v>0</v>
      </c>
      <c r="Y23" s="2">
        <f t="shared" si="6"/>
        <v>8</v>
      </c>
      <c r="Z23" s="2">
        <f t="shared" si="7"/>
        <v>0.4</v>
      </c>
      <c r="AB23" s="2">
        <v>17</v>
      </c>
      <c r="AC23" s="2">
        <f>SUM($H$6:H23)</f>
        <v>212.05</v>
      </c>
      <c r="AD23" s="2">
        <f t="shared" si="8"/>
        <v>78.522495834104802</v>
      </c>
      <c r="AE23" s="2">
        <f>SUM($N$6:N23)</f>
        <v>103.6</v>
      </c>
      <c r="AF23" s="2">
        <f t="shared" si="9"/>
        <v>75.925247343349213</v>
      </c>
      <c r="AG23" s="2">
        <f>SUM($T$6:T23)</f>
        <v>111.25</v>
      </c>
      <c r="AH23" s="2">
        <f t="shared" si="10"/>
        <v>65.808932268559602</v>
      </c>
      <c r="AI23" s="2">
        <f>SUM($Z$6:Z23)</f>
        <v>163</v>
      </c>
      <c r="AJ23" s="2">
        <f t="shared" si="11"/>
        <v>76.507862004224364</v>
      </c>
      <c r="AP23" s="58" t="s">
        <v>73</v>
      </c>
      <c r="AQ23" s="58"/>
      <c r="AR23" s="58"/>
    </row>
    <row r="24" spans="2:50" x14ac:dyDescent="0.25">
      <c r="B24" s="2">
        <v>18</v>
      </c>
      <c r="C24" s="2">
        <v>4</v>
      </c>
      <c r="D24" s="2">
        <v>0</v>
      </c>
      <c r="E24" s="2">
        <v>9</v>
      </c>
      <c r="F24" s="2">
        <v>19</v>
      </c>
      <c r="G24" s="2">
        <f t="shared" si="0"/>
        <v>32</v>
      </c>
      <c r="H24" s="2">
        <f t="shared" si="1"/>
        <v>1.6</v>
      </c>
      <c r="I24" s="2">
        <v>0</v>
      </c>
      <c r="J24" s="2">
        <v>0</v>
      </c>
      <c r="K24" s="2">
        <v>11</v>
      </c>
      <c r="L24" s="2">
        <v>1</v>
      </c>
      <c r="M24" s="2">
        <f t="shared" si="2"/>
        <v>12</v>
      </c>
      <c r="N24" s="2">
        <f t="shared" si="3"/>
        <v>0.6</v>
      </c>
      <c r="O24" s="2">
        <v>6</v>
      </c>
      <c r="P24" s="2">
        <v>110</v>
      </c>
      <c r="Q24" s="2">
        <v>51</v>
      </c>
      <c r="R24" s="2">
        <v>84</v>
      </c>
      <c r="S24" s="2">
        <f t="shared" si="4"/>
        <v>251</v>
      </c>
      <c r="T24" s="2">
        <f t="shared" si="5"/>
        <v>12.55</v>
      </c>
      <c r="U24" s="2">
        <v>5</v>
      </c>
      <c r="V24" s="2">
        <v>2</v>
      </c>
      <c r="W24" s="2">
        <v>0</v>
      </c>
      <c r="X24" s="2">
        <v>0</v>
      </c>
      <c r="Y24" s="2">
        <f t="shared" si="6"/>
        <v>7</v>
      </c>
      <c r="Z24" s="2">
        <f t="shared" si="7"/>
        <v>0.35</v>
      </c>
      <c r="AB24" s="2">
        <v>18</v>
      </c>
      <c r="AC24" s="2">
        <f>SUM($H$6:H24)</f>
        <v>213.65</v>
      </c>
      <c r="AD24" s="2">
        <f t="shared" si="8"/>
        <v>79.114978707646728</v>
      </c>
      <c r="AE24" s="2">
        <f>SUM($N$6:N24)</f>
        <v>104.19999999999999</v>
      </c>
      <c r="AF24" s="2">
        <f t="shared" si="9"/>
        <v>76.364968853059722</v>
      </c>
      <c r="AG24" s="2">
        <f>SUM($T$6:T24)</f>
        <v>123.8</v>
      </c>
      <c r="AH24" s="2">
        <f t="shared" si="10"/>
        <v>73.232771369417321</v>
      </c>
      <c r="AI24" s="2">
        <f>SUM($Z$6:Z24)</f>
        <v>163.35</v>
      </c>
      <c r="AJ24" s="2">
        <f t="shared" si="11"/>
        <v>76.672142689509499</v>
      </c>
      <c r="AP24" s="2"/>
      <c r="AQ24" s="2" t="s">
        <v>74</v>
      </c>
      <c r="AR24" s="2" t="s">
        <v>75</v>
      </c>
    </row>
    <row r="25" spans="2:50" x14ac:dyDescent="0.25">
      <c r="B25" s="2">
        <v>19</v>
      </c>
      <c r="C25" s="2">
        <v>0</v>
      </c>
      <c r="D25" s="2">
        <v>0</v>
      </c>
      <c r="E25" s="2">
        <v>11</v>
      </c>
      <c r="F25" s="2">
        <v>13</v>
      </c>
      <c r="G25" s="2">
        <f t="shared" si="0"/>
        <v>24</v>
      </c>
      <c r="H25" s="2">
        <f t="shared" si="1"/>
        <v>1.2</v>
      </c>
      <c r="I25" s="2">
        <v>0</v>
      </c>
      <c r="J25" s="2">
        <v>0</v>
      </c>
      <c r="K25" s="2">
        <v>0</v>
      </c>
      <c r="L25" s="2">
        <v>5</v>
      </c>
      <c r="M25" s="2">
        <f t="shared" si="2"/>
        <v>5</v>
      </c>
      <c r="N25" s="2">
        <f t="shared" si="3"/>
        <v>0.25</v>
      </c>
      <c r="O25" s="2">
        <v>136</v>
      </c>
      <c r="P25" s="2">
        <v>0</v>
      </c>
      <c r="Q25" s="2">
        <v>0</v>
      </c>
      <c r="R25" s="2">
        <v>45</v>
      </c>
      <c r="S25" s="2">
        <f t="shared" si="4"/>
        <v>181</v>
      </c>
      <c r="T25" s="2">
        <f t="shared" si="5"/>
        <v>9.0500000000000007</v>
      </c>
      <c r="U25" s="2">
        <v>12</v>
      </c>
      <c r="V25" s="2">
        <v>41</v>
      </c>
      <c r="W25" s="2">
        <v>4</v>
      </c>
      <c r="X25" s="2">
        <v>0</v>
      </c>
      <c r="Y25" s="2">
        <f t="shared" si="6"/>
        <v>57</v>
      </c>
      <c r="Z25" s="2">
        <f t="shared" si="7"/>
        <v>2.85</v>
      </c>
      <c r="AB25" s="2">
        <v>19</v>
      </c>
      <c r="AC25" s="2">
        <f>SUM($H$6:H25)</f>
        <v>214.85</v>
      </c>
      <c r="AD25" s="2">
        <f t="shared" si="8"/>
        <v>79.559340862803168</v>
      </c>
      <c r="AE25" s="2">
        <f>SUM($N$6:N25)</f>
        <v>104.44999999999999</v>
      </c>
      <c r="AF25" s="2">
        <f t="shared" si="9"/>
        <v>76.548186148772444</v>
      </c>
      <c r="AG25" s="2">
        <f>SUM($T$6:T25)</f>
        <v>132.85</v>
      </c>
      <c r="AH25" s="84">
        <f t="shared" si="10"/>
        <v>78.586217095533868</v>
      </c>
      <c r="AI25" s="2">
        <f>SUM($Z$6:Z25)</f>
        <v>166.2</v>
      </c>
      <c r="AJ25" s="2">
        <f t="shared" si="11"/>
        <v>78.009856841117099</v>
      </c>
      <c r="AP25" s="2" t="s">
        <v>9</v>
      </c>
      <c r="AQ25" s="2">
        <v>270.05</v>
      </c>
      <c r="AR25" s="2">
        <v>63.8</v>
      </c>
    </row>
    <row r="26" spans="2:50" x14ac:dyDescent="0.25">
      <c r="B26" s="2">
        <v>20</v>
      </c>
      <c r="C26" s="2">
        <v>2</v>
      </c>
      <c r="D26" s="2">
        <v>0</v>
      </c>
      <c r="E26" s="2">
        <v>0</v>
      </c>
      <c r="F26" s="2">
        <v>0</v>
      </c>
      <c r="G26" s="2">
        <f t="shared" si="0"/>
        <v>2</v>
      </c>
      <c r="H26" s="2">
        <f t="shared" si="1"/>
        <v>0.1</v>
      </c>
      <c r="I26" s="2">
        <v>0</v>
      </c>
      <c r="J26" s="2">
        <v>0</v>
      </c>
      <c r="K26" s="2">
        <v>2</v>
      </c>
      <c r="L26" s="2">
        <v>0</v>
      </c>
      <c r="M26" s="2">
        <f t="shared" si="2"/>
        <v>2</v>
      </c>
      <c r="N26" s="2">
        <f t="shared" si="3"/>
        <v>0.1</v>
      </c>
      <c r="O26" s="2">
        <v>0</v>
      </c>
      <c r="P26" s="2">
        <v>12</v>
      </c>
      <c r="Q26" s="2">
        <v>0</v>
      </c>
      <c r="R26" s="2">
        <v>0</v>
      </c>
      <c r="S26" s="2">
        <f t="shared" si="4"/>
        <v>12</v>
      </c>
      <c r="T26" s="2">
        <f t="shared" si="5"/>
        <v>0.6</v>
      </c>
      <c r="U26" s="2">
        <v>9</v>
      </c>
      <c r="V26" s="2">
        <v>10</v>
      </c>
      <c r="W26" s="2">
        <v>0</v>
      </c>
      <c r="X26" s="2">
        <v>0</v>
      </c>
      <c r="Y26" s="2">
        <f t="shared" si="6"/>
        <v>19</v>
      </c>
      <c r="Z26" s="2">
        <f t="shared" si="7"/>
        <v>0.95</v>
      </c>
      <c r="AB26" s="2">
        <v>20</v>
      </c>
      <c r="AC26" s="2">
        <f>SUM($H$6:H26)</f>
        <v>214.95</v>
      </c>
      <c r="AD26" s="2">
        <f t="shared" si="8"/>
        <v>79.596371042399554</v>
      </c>
      <c r="AE26" s="2">
        <f>SUM($N$6:N26)</f>
        <v>104.54999999999998</v>
      </c>
      <c r="AF26" s="2">
        <f t="shared" si="9"/>
        <v>76.621473067057522</v>
      </c>
      <c r="AG26" s="2">
        <f>SUM($T$6:T26)</f>
        <v>133.44999999999999</v>
      </c>
      <c r="AH26" s="2">
        <f t="shared" si="10"/>
        <v>78.941141674060916</v>
      </c>
      <c r="AI26" s="2">
        <f>SUM($Z$6:Z26)</f>
        <v>167.14999999999998</v>
      </c>
      <c r="AJ26" s="2">
        <f t="shared" si="11"/>
        <v>78.455761558319622</v>
      </c>
      <c r="AP26" s="2" t="s">
        <v>10</v>
      </c>
      <c r="AQ26" s="2">
        <v>136.44999999999999</v>
      </c>
      <c r="AR26" s="2">
        <v>50.05</v>
      </c>
    </row>
    <row r="27" spans="2:50" x14ac:dyDescent="0.25">
      <c r="B27" s="2">
        <v>21</v>
      </c>
      <c r="C27" s="2">
        <v>152</v>
      </c>
      <c r="D27" s="2">
        <v>0</v>
      </c>
      <c r="E27" s="2">
        <v>129</v>
      </c>
      <c r="F27" s="2">
        <v>78</v>
      </c>
      <c r="G27" s="2">
        <f t="shared" si="0"/>
        <v>359</v>
      </c>
      <c r="H27" s="2">
        <f t="shared" si="1"/>
        <v>17.95</v>
      </c>
      <c r="I27" s="2">
        <v>0</v>
      </c>
      <c r="J27" s="2">
        <v>0</v>
      </c>
      <c r="K27" s="2">
        <v>0</v>
      </c>
      <c r="L27" s="2">
        <v>2</v>
      </c>
      <c r="M27" s="2">
        <f t="shared" si="2"/>
        <v>2</v>
      </c>
      <c r="N27" s="2">
        <f t="shared" si="3"/>
        <v>0.1</v>
      </c>
      <c r="O27" s="2">
        <v>38</v>
      </c>
      <c r="P27" s="2">
        <v>0</v>
      </c>
      <c r="Q27" s="2">
        <v>0</v>
      </c>
      <c r="R27" s="2">
        <v>0</v>
      </c>
      <c r="S27" s="2">
        <f t="shared" si="4"/>
        <v>38</v>
      </c>
      <c r="T27" s="2">
        <f t="shared" si="5"/>
        <v>1.9</v>
      </c>
      <c r="U27" s="2">
        <v>0</v>
      </c>
      <c r="V27" s="2">
        <v>4</v>
      </c>
      <c r="W27" s="2">
        <v>0</v>
      </c>
      <c r="X27" s="2">
        <v>247</v>
      </c>
      <c r="Y27" s="2">
        <f t="shared" si="6"/>
        <v>251</v>
      </c>
      <c r="Z27" s="2">
        <f t="shared" si="7"/>
        <v>12.55</v>
      </c>
      <c r="AB27" s="2">
        <v>21</v>
      </c>
      <c r="AC27" s="2">
        <f>SUM($H$6:H27)</f>
        <v>232.89999999999998</v>
      </c>
      <c r="AD27" s="2">
        <f t="shared" si="8"/>
        <v>86.243288279948146</v>
      </c>
      <c r="AE27" s="2">
        <f>SUM($N$6:N27)</f>
        <v>104.64999999999998</v>
      </c>
      <c r="AF27" s="2">
        <f t="shared" si="9"/>
        <v>76.694759985342614</v>
      </c>
      <c r="AG27" s="2">
        <f>SUM($T$6:T27)</f>
        <v>135.35</v>
      </c>
      <c r="AH27" s="2">
        <f t="shared" si="10"/>
        <v>80.065069506063296</v>
      </c>
      <c r="AI27" s="2">
        <f>SUM($Z$6:Z27)</f>
        <v>179.7</v>
      </c>
      <c r="AJ27" s="2">
        <f t="shared" si="11"/>
        <v>84.346397559258378</v>
      </c>
      <c r="AP27" s="2" t="s">
        <v>11</v>
      </c>
      <c r="AQ27" s="2">
        <v>169.05</v>
      </c>
      <c r="AR27" s="2">
        <v>75.05</v>
      </c>
    </row>
    <row r="28" spans="2:50" x14ac:dyDescent="0.25">
      <c r="B28" s="2">
        <v>22</v>
      </c>
      <c r="C28" s="2">
        <v>8</v>
      </c>
      <c r="D28" s="2">
        <v>276</v>
      </c>
      <c r="E28" s="2">
        <v>15</v>
      </c>
      <c r="F28" s="2">
        <v>3</v>
      </c>
      <c r="G28" s="2">
        <f t="shared" si="0"/>
        <v>302</v>
      </c>
      <c r="H28" s="2">
        <f t="shared" si="1"/>
        <v>15.1</v>
      </c>
      <c r="I28" s="2">
        <v>0</v>
      </c>
      <c r="J28" s="2">
        <v>374</v>
      </c>
      <c r="K28" s="2">
        <v>0</v>
      </c>
      <c r="L28" s="2">
        <v>1</v>
      </c>
      <c r="M28" s="2">
        <f t="shared" si="2"/>
        <v>375</v>
      </c>
      <c r="N28" s="2">
        <f t="shared" si="3"/>
        <v>18.75</v>
      </c>
      <c r="O28" s="2">
        <v>0</v>
      </c>
      <c r="P28" s="2">
        <v>32</v>
      </c>
      <c r="Q28" s="2">
        <v>12</v>
      </c>
      <c r="R28" s="2">
        <v>0</v>
      </c>
      <c r="S28" s="2">
        <f t="shared" si="4"/>
        <v>44</v>
      </c>
      <c r="T28" s="2">
        <f t="shared" si="5"/>
        <v>2.2000000000000002</v>
      </c>
      <c r="U28" s="2">
        <v>30</v>
      </c>
      <c r="V28" s="2">
        <v>29</v>
      </c>
      <c r="W28" s="2">
        <v>1</v>
      </c>
      <c r="X28" s="2">
        <v>0</v>
      </c>
      <c r="Y28" s="2">
        <f t="shared" si="6"/>
        <v>60</v>
      </c>
      <c r="Z28" s="2">
        <f t="shared" si="7"/>
        <v>3</v>
      </c>
      <c r="AB28" s="2">
        <v>22</v>
      </c>
      <c r="AC28" s="2">
        <f>SUM($H$6:H28)</f>
        <v>247.99999999999997</v>
      </c>
      <c r="AD28" s="2">
        <f t="shared" si="8"/>
        <v>91.834845399000173</v>
      </c>
      <c r="AE28" s="2">
        <f>SUM($N$6:N28)</f>
        <v>123.39999999999998</v>
      </c>
      <c r="AF28" s="2">
        <f t="shared" si="9"/>
        <v>90.436057163796264</v>
      </c>
      <c r="AG28" s="2">
        <f>SUM($T$6:T28)</f>
        <v>137.54999999999998</v>
      </c>
      <c r="AH28" s="2">
        <f t="shared" si="10"/>
        <v>81.366459627329178</v>
      </c>
      <c r="AI28" s="2">
        <f>SUM($Z$6:Z28)</f>
        <v>182.7</v>
      </c>
      <c r="AJ28" s="2">
        <f t="shared" si="11"/>
        <v>85.754517718845335</v>
      </c>
      <c r="AP28" s="2" t="s">
        <v>12</v>
      </c>
      <c r="AQ28" s="2">
        <v>213.05</v>
      </c>
      <c r="AR28" s="2">
        <v>82.6</v>
      </c>
    </row>
    <row r="29" spans="2:50" x14ac:dyDescent="0.25">
      <c r="B29" s="2">
        <v>23</v>
      </c>
      <c r="C29" s="2">
        <v>14</v>
      </c>
      <c r="D29" s="2">
        <v>66</v>
      </c>
      <c r="E29" s="2">
        <v>58</v>
      </c>
      <c r="F29" s="2">
        <v>99</v>
      </c>
      <c r="G29" s="2">
        <f t="shared" si="0"/>
        <v>237</v>
      </c>
      <c r="H29" s="2">
        <f t="shared" si="1"/>
        <v>11.85</v>
      </c>
      <c r="I29" s="2">
        <v>0</v>
      </c>
      <c r="J29" s="2">
        <v>6</v>
      </c>
      <c r="K29" s="2">
        <v>60</v>
      </c>
      <c r="L29" s="2">
        <v>10</v>
      </c>
      <c r="M29" s="2">
        <f t="shared" si="2"/>
        <v>76</v>
      </c>
      <c r="N29" s="2">
        <f t="shared" si="3"/>
        <v>3.8</v>
      </c>
      <c r="O29" s="2">
        <v>0</v>
      </c>
      <c r="P29" s="2">
        <v>121</v>
      </c>
      <c r="Q29" s="2">
        <v>192</v>
      </c>
      <c r="R29" s="2">
        <v>0</v>
      </c>
      <c r="S29" s="2">
        <f t="shared" si="4"/>
        <v>313</v>
      </c>
      <c r="T29" s="2">
        <f t="shared" si="5"/>
        <v>15.65</v>
      </c>
      <c r="U29" s="2">
        <v>0</v>
      </c>
      <c r="V29" s="2">
        <v>26</v>
      </c>
      <c r="W29" s="2">
        <v>0</v>
      </c>
      <c r="X29" s="2">
        <v>76</v>
      </c>
      <c r="Y29" s="2">
        <f t="shared" si="6"/>
        <v>102</v>
      </c>
      <c r="Z29" s="2">
        <f t="shared" si="7"/>
        <v>5.0999999999999996</v>
      </c>
      <c r="AB29" s="2">
        <v>23</v>
      </c>
      <c r="AC29" s="2">
        <f>SUM($H$6:H29)</f>
        <v>259.84999999999997</v>
      </c>
      <c r="AD29" s="85">
        <f t="shared" si="8"/>
        <v>96.222921681170135</v>
      </c>
      <c r="AE29" s="2">
        <f>SUM($N$6:N29)</f>
        <v>127.19999999999997</v>
      </c>
      <c r="AF29" s="85">
        <f t="shared" si="9"/>
        <v>93.220960058629515</v>
      </c>
      <c r="AG29" s="2">
        <f>SUM($T$6:T29)</f>
        <v>153.19999999999999</v>
      </c>
      <c r="AH29" s="2">
        <f t="shared" si="10"/>
        <v>90.6240757172434</v>
      </c>
      <c r="AI29" s="2">
        <f>SUM($Z$6:Z29)</f>
        <v>187.79999999999998</v>
      </c>
      <c r="AJ29" s="2">
        <f t="shared" si="11"/>
        <v>88.148321990143145</v>
      </c>
    </row>
    <row r="30" spans="2:50" x14ac:dyDescent="0.25">
      <c r="B30" s="2">
        <v>24</v>
      </c>
      <c r="C30" s="2">
        <v>6</v>
      </c>
      <c r="D30" s="2">
        <v>38</v>
      </c>
      <c r="E30" s="2">
        <v>63</v>
      </c>
      <c r="F30" s="2">
        <v>97</v>
      </c>
      <c r="G30" s="2">
        <f t="shared" si="0"/>
        <v>204</v>
      </c>
      <c r="H30" s="2">
        <f t="shared" si="1"/>
        <v>10.199999999999999</v>
      </c>
      <c r="I30" s="2">
        <v>47</v>
      </c>
      <c r="J30" s="2">
        <v>38</v>
      </c>
      <c r="K30" s="2">
        <v>1</v>
      </c>
      <c r="L30" s="2">
        <v>99</v>
      </c>
      <c r="M30" s="2">
        <f t="shared" si="2"/>
        <v>185</v>
      </c>
      <c r="N30" s="2">
        <f t="shared" si="3"/>
        <v>9.25</v>
      </c>
      <c r="O30" s="2">
        <v>110</v>
      </c>
      <c r="P30" s="2">
        <v>48</v>
      </c>
      <c r="Q30" s="2">
        <v>21</v>
      </c>
      <c r="R30" s="2">
        <v>138</v>
      </c>
      <c r="S30" s="2">
        <f t="shared" si="4"/>
        <v>317</v>
      </c>
      <c r="T30" s="2">
        <f t="shared" si="5"/>
        <v>15.85</v>
      </c>
      <c r="U30" s="2">
        <v>121</v>
      </c>
      <c r="V30" s="2">
        <v>80</v>
      </c>
      <c r="W30" s="2">
        <v>222</v>
      </c>
      <c r="X30" s="2">
        <v>82</v>
      </c>
      <c r="Y30" s="2">
        <f t="shared" si="6"/>
        <v>505</v>
      </c>
      <c r="Z30" s="2">
        <f t="shared" si="7"/>
        <v>25.25</v>
      </c>
      <c r="AB30" s="2">
        <v>24</v>
      </c>
      <c r="AC30" s="2">
        <f>SUM($H$6:H30)</f>
        <v>270.04999999999995</v>
      </c>
      <c r="AD30" s="2">
        <f t="shared" si="8"/>
        <v>99.999999999999972</v>
      </c>
      <c r="AE30" s="2">
        <f>SUM($N$6:N30)</f>
        <v>136.44999999999999</v>
      </c>
      <c r="AF30" s="2">
        <f t="shared" si="9"/>
        <v>100</v>
      </c>
      <c r="AG30" s="2">
        <f>SUM($T$6:T30)</f>
        <v>169.04999999999998</v>
      </c>
      <c r="AH30" s="85">
        <f t="shared" si="10"/>
        <v>99.999999999999972</v>
      </c>
      <c r="AI30" s="2">
        <f>SUM($Z$6:Z30)</f>
        <v>213.04999999999998</v>
      </c>
      <c r="AJ30" s="85">
        <f t="shared" si="11"/>
        <v>99.999999999999986</v>
      </c>
      <c r="AO30" s="89" t="s">
        <v>110</v>
      </c>
      <c r="AP30" s="89"/>
      <c r="AQ30" s="89"/>
      <c r="AR30" s="89"/>
      <c r="AS30" s="89"/>
      <c r="AT30" s="89"/>
      <c r="AU30" s="89"/>
      <c r="AV30" s="89"/>
      <c r="AW30" s="89"/>
      <c r="AX30" s="89"/>
    </row>
    <row r="31" spans="2:50" x14ac:dyDescent="0.25">
      <c r="B31" s="78" t="s">
        <v>106</v>
      </c>
      <c r="C31" s="79"/>
      <c r="D31" s="79"/>
      <c r="E31" s="79"/>
      <c r="F31" s="80"/>
      <c r="G31" s="2"/>
      <c r="H31" s="2">
        <f>SUM(H6:H30)</f>
        <v>270.04999999999995</v>
      </c>
      <c r="I31" s="78" t="s">
        <v>106</v>
      </c>
      <c r="J31" s="79"/>
      <c r="K31" s="79"/>
      <c r="L31" s="79"/>
      <c r="M31" s="81"/>
      <c r="N31" s="2">
        <f>SUM(N6:N30)</f>
        <v>136.44999999999999</v>
      </c>
      <c r="O31" s="78" t="s">
        <v>106</v>
      </c>
      <c r="P31" s="79"/>
      <c r="Q31" s="79"/>
      <c r="R31" s="80"/>
      <c r="S31" s="2"/>
      <c r="T31" s="2">
        <f>SUM(T6:T30)</f>
        <v>169.04999999999998</v>
      </c>
      <c r="U31" s="78" t="s">
        <v>106</v>
      </c>
      <c r="V31" s="79"/>
      <c r="W31" s="79"/>
      <c r="X31" s="80"/>
      <c r="Y31" s="2"/>
      <c r="Z31" s="2">
        <f>SUM(Z6:Z30)</f>
        <v>213.04999999999998</v>
      </c>
      <c r="AO31" s="89"/>
      <c r="AP31" s="89"/>
      <c r="AQ31" s="89"/>
      <c r="AR31" s="89"/>
      <c r="AS31" s="89"/>
      <c r="AT31" s="89"/>
      <c r="AU31" s="89"/>
      <c r="AV31" s="89"/>
      <c r="AW31" s="89"/>
      <c r="AX31" s="89"/>
    </row>
    <row r="32" spans="2:50" x14ac:dyDescent="0.25">
      <c r="AO32" s="89"/>
      <c r="AP32" s="89"/>
      <c r="AQ32" s="89"/>
      <c r="AR32" s="89"/>
      <c r="AS32" s="89"/>
      <c r="AT32" s="89"/>
      <c r="AU32" s="89"/>
      <c r="AV32" s="89"/>
      <c r="AW32" s="89"/>
      <c r="AX32" s="89"/>
    </row>
    <row r="33" spans="2:51" ht="30" x14ac:dyDescent="0.25">
      <c r="B33" s="59" t="s">
        <v>76</v>
      </c>
      <c r="C33" s="55" t="s">
        <v>77</v>
      </c>
      <c r="D33" s="55"/>
      <c r="E33" s="55"/>
      <c r="F33" s="55"/>
      <c r="G33" s="55"/>
      <c r="H33" s="55"/>
      <c r="I33" s="55"/>
      <c r="J33" s="55"/>
      <c r="K33" s="55"/>
      <c r="L33" s="55"/>
      <c r="M33" s="55"/>
      <c r="N33" s="55"/>
      <c r="O33" s="55"/>
      <c r="P33" s="55"/>
      <c r="Q33" s="55"/>
      <c r="R33" s="55"/>
      <c r="S33" s="55"/>
      <c r="T33" s="55"/>
      <c r="U33" s="55"/>
      <c r="V33" s="55"/>
      <c r="W33" s="55"/>
      <c r="X33" s="55"/>
      <c r="Y33" s="2"/>
      <c r="Z33" s="2"/>
      <c r="AB33" s="58" t="s">
        <v>60</v>
      </c>
      <c r="AC33" s="58" t="s">
        <v>66</v>
      </c>
      <c r="AD33" s="58"/>
      <c r="AE33" s="58"/>
      <c r="AF33" s="58"/>
      <c r="AG33" s="58"/>
      <c r="AH33" s="58"/>
      <c r="AI33" s="58"/>
      <c r="AJ33" s="2"/>
      <c r="AK33" s="53" t="s">
        <v>70</v>
      </c>
      <c r="AO33" s="55" t="s">
        <v>78</v>
      </c>
      <c r="AP33" s="55"/>
      <c r="AQ33" s="55"/>
      <c r="AR33" s="55"/>
      <c r="AS33" s="55"/>
      <c r="AT33" s="55"/>
      <c r="AU33" s="55"/>
      <c r="AV33" s="55"/>
      <c r="AW33" s="55"/>
      <c r="AX33" s="55"/>
      <c r="AY33" s="5"/>
    </row>
    <row r="34" spans="2:51" ht="15" customHeight="1" x14ac:dyDescent="0.25">
      <c r="B34" s="59"/>
      <c r="C34" s="2" t="s">
        <v>9</v>
      </c>
      <c r="D34" s="2" t="s">
        <v>9</v>
      </c>
      <c r="E34" s="2" t="s">
        <v>9</v>
      </c>
      <c r="F34" s="2" t="s">
        <v>9</v>
      </c>
      <c r="G34" s="7" t="s">
        <v>79</v>
      </c>
      <c r="H34" s="7" t="s">
        <v>72</v>
      </c>
      <c r="I34" s="2" t="s">
        <v>10</v>
      </c>
      <c r="J34" s="2" t="s">
        <v>10</v>
      </c>
      <c r="K34" s="2" t="s">
        <v>10</v>
      </c>
      <c r="L34" s="2" t="s">
        <v>10</v>
      </c>
      <c r="M34" s="7" t="s">
        <v>79</v>
      </c>
      <c r="N34" s="7" t="s">
        <v>72</v>
      </c>
      <c r="O34" s="2" t="s">
        <v>11</v>
      </c>
      <c r="P34" s="2" t="s">
        <v>11</v>
      </c>
      <c r="Q34" s="2" t="s">
        <v>11</v>
      </c>
      <c r="R34" s="2" t="s">
        <v>11</v>
      </c>
      <c r="S34" s="7" t="s">
        <v>79</v>
      </c>
      <c r="T34" s="7" t="s">
        <v>72</v>
      </c>
      <c r="U34" s="2" t="s">
        <v>12</v>
      </c>
      <c r="V34" s="2" t="s">
        <v>12</v>
      </c>
      <c r="W34" s="2" t="s">
        <v>12</v>
      </c>
      <c r="X34" s="2" t="s">
        <v>12</v>
      </c>
      <c r="Y34" s="7" t="s">
        <v>79</v>
      </c>
      <c r="Z34" s="7" t="s">
        <v>72</v>
      </c>
      <c r="AB34" s="58"/>
      <c r="AC34" s="7" t="s">
        <v>9</v>
      </c>
      <c r="AD34" s="7" t="s">
        <v>67</v>
      </c>
      <c r="AE34" s="7" t="s">
        <v>10</v>
      </c>
      <c r="AF34" s="7" t="s">
        <v>63</v>
      </c>
      <c r="AG34" s="7" t="s">
        <v>11</v>
      </c>
      <c r="AH34" s="7" t="s">
        <v>64</v>
      </c>
      <c r="AI34" s="7" t="s">
        <v>12</v>
      </c>
      <c r="AJ34" s="7" t="s">
        <v>68</v>
      </c>
      <c r="AK34" s="41">
        <v>0.25</v>
      </c>
      <c r="AO34" s="2"/>
      <c r="AP34" s="55" t="s">
        <v>80</v>
      </c>
      <c r="AQ34" s="55"/>
      <c r="AR34" s="55"/>
      <c r="AS34" s="55"/>
      <c r="AT34" s="55" t="s">
        <v>75</v>
      </c>
      <c r="AU34" s="55"/>
      <c r="AV34" s="55"/>
      <c r="AW34" s="55"/>
      <c r="AX34" s="55"/>
    </row>
    <row r="35" spans="2:51" x14ac:dyDescent="0.25">
      <c r="B35" s="2">
        <v>0</v>
      </c>
      <c r="C35" s="2">
        <v>0</v>
      </c>
      <c r="D35" s="2">
        <v>0</v>
      </c>
      <c r="E35" s="2">
        <v>0</v>
      </c>
      <c r="F35" s="2">
        <v>0</v>
      </c>
      <c r="G35" s="2">
        <f>SUM(C35:F35)</f>
        <v>0</v>
      </c>
      <c r="H35" s="2">
        <f>(G35/20)</f>
        <v>0</v>
      </c>
      <c r="I35" s="2">
        <v>0</v>
      </c>
      <c r="J35" s="2">
        <v>0</v>
      </c>
      <c r="K35" s="2">
        <v>0</v>
      </c>
      <c r="L35" s="2">
        <v>0</v>
      </c>
      <c r="M35" s="2">
        <f>SUM(I35:L35)</f>
        <v>0</v>
      </c>
      <c r="N35" s="2">
        <f>(M35/20)</f>
        <v>0</v>
      </c>
      <c r="O35" s="2">
        <v>0</v>
      </c>
      <c r="P35" s="2">
        <v>0</v>
      </c>
      <c r="Q35" s="2">
        <v>0</v>
      </c>
      <c r="R35" s="2">
        <v>0</v>
      </c>
      <c r="S35" s="2">
        <f>SUM(O35:R35)</f>
        <v>0</v>
      </c>
      <c r="T35" s="2">
        <f>(S35/20)</f>
        <v>0</v>
      </c>
      <c r="U35" s="2">
        <v>0</v>
      </c>
      <c r="V35" s="2">
        <v>0</v>
      </c>
      <c r="W35" s="2">
        <v>0</v>
      </c>
      <c r="X35" s="2">
        <v>0</v>
      </c>
      <c r="Y35" s="2">
        <f>SUM(U35:X35)</f>
        <v>0</v>
      </c>
      <c r="Z35" s="2">
        <f>(Y35/20)</f>
        <v>0</v>
      </c>
      <c r="AB35" s="2">
        <v>0</v>
      </c>
      <c r="AC35" s="2">
        <f>SUM($H$35:H35)</f>
        <v>0</v>
      </c>
      <c r="AD35" s="2">
        <f>(AC35/63.8)*100</f>
        <v>0</v>
      </c>
      <c r="AE35" s="2">
        <f>SUM($N$35:N35)</f>
        <v>0</v>
      </c>
      <c r="AF35" s="2">
        <f>(AE35/50.05)*100</f>
        <v>0</v>
      </c>
      <c r="AG35" s="2">
        <f>SUM($T$35:T35)</f>
        <v>0</v>
      </c>
      <c r="AH35" s="2">
        <f>(AG35/75.05)*100</f>
        <v>0</v>
      </c>
      <c r="AI35" s="2">
        <f>SUM($Z$35:Z35)</f>
        <v>0</v>
      </c>
      <c r="AJ35" s="2">
        <f>(AI35/82.6)*100</f>
        <v>0</v>
      </c>
      <c r="AK35" s="42">
        <v>0.5</v>
      </c>
      <c r="AO35" s="2"/>
      <c r="AP35" s="56" t="s">
        <v>82</v>
      </c>
      <c r="AQ35" s="56"/>
      <c r="AR35" s="56"/>
      <c r="AS35" s="56"/>
      <c r="AT35" s="56" t="s">
        <v>82</v>
      </c>
      <c r="AU35" s="56"/>
      <c r="AV35" s="56"/>
      <c r="AW35" s="56"/>
      <c r="AX35" s="56"/>
    </row>
    <row r="36" spans="2:51" x14ac:dyDescent="0.25">
      <c r="B36" s="2">
        <v>1</v>
      </c>
      <c r="C36" s="2">
        <v>0</v>
      </c>
      <c r="D36" s="2">
        <v>8</v>
      </c>
      <c r="E36" s="2">
        <v>15</v>
      </c>
      <c r="F36" s="2">
        <v>0</v>
      </c>
      <c r="G36" s="2">
        <f t="shared" ref="G36:G59" si="12">SUM(C36:F36)</f>
        <v>23</v>
      </c>
      <c r="H36" s="2">
        <f t="shared" ref="H36:H59" si="13">(G36/20)</f>
        <v>1.1499999999999999</v>
      </c>
      <c r="I36" s="2">
        <v>7</v>
      </c>
      <c r="J36" s="2">
        <v>37</v>
      </c>
      <c r="K36" s="2">
        <v>16</v>
      </c>
      <c r="L36" s="2">
        <v>4</v>
      </c>
      <c r="M36" s="2">
        <f t="shared" ref="M36:M59" si="14">SUM(I36:L36)</f>
        <v>64</v>
      </c>
      <c r="N36" s="2">
        <f t="shared" ref="N36:N59" si="15">(M36/20)</f>
        <v>3.2</v>
      </c>
      <c r="O36" s="2">
        <v>0</v>
      </c>
      <c r="P36" s="2">
        <v>0</v>
      </c>
      <c r="Q36" s="2">
        <v>0</v>
      </c>
      <c r="R36" s="2">
        <v>0</v>
      </c>
      <c r="S36" s="2">
        <f t="shared" ref="S36:S59" si="16">SUM(O36:R36)</f>
        <v>0</v>
      </c>
      <c r="T36" s="2">
        <f t="shared" ref="T36:T59" si="17">(S36/20)</f>
        <v>0</v>
      </c>
      <c r="U36" s="2">
        <v>2</v>
      </c>
      <c r="V36" s="2">
        <v>9</v>
      </c>
      <c r="W36" s="2">
        <v>4</v>
      </c>
      <c r="X36" s="2">
        <v>3</v>
      </c>
      <c r="Y36" s="2">
        <f t="shared" ref="Y36:Y59" si="18">SUM(U36:X36)</f>
        <v>18</v>
      </c>
      <c r="Z36" s="2">
        <f t="shared" ref="Z36:Z59" si="19">(Y36/20)</f>
        <v>0.9</v>
      </c>
      <c r="AB36" s="2">
        <v>1</v>
      </c>
      <c r="AC36" s="2">
        <f>SUM($H$35:H36)</f>
        <v>1.1499999999999999</v>
      </c>
      <c r="AD36" s="2">
        <f t="shared" ref="AD36:AD59" si="20">(AC36/63.8)*100</f>
        <v>1.8025078369905956</v>
      </c>
      <c r="AE36" s="2">
        <f>SUM($N$35:N36)</f>
        <v>3.2</v>
      </c>
      <c r="AF36" s="2">
        <f t="shared" ref="AF36:AF59" si="21">(AE36/50.05)*100</f>
        <v>6.3936063936063947</v>
      </c>
      <c r="AG36" s="2">
        <f>SUM($T$35:T36)</f>
        <v>0</v>
      </c>
      <c r="AH36" s="2">
        <f t="shared" ref="AH36:AH59" si="22">(AG36/75.05)*100</f>
        <v>0</v>
      </c>
      <c r="AI36" s="2">
        <f>SUM($Z$35:Z36)</f>
        <v>0.9</v>
      </c>
      <c r="AJ36" s="2">
        <f t="shared" ref="AJ36:AJ59" si="23">(AI36/82.6)*100</f>
        <v>1.089588377723971</v>
      </c>
      <c r="AK36" s="43">
        <v>0.75</v>
      </c>
      <c r="AO36" s="45"/>
      <c r="AP36" s="46">
        <v>0.25</v>
      </c>
      <c r="AQ36" s="46">
        <v>0.5</v>
      </c>
      <c r="AR36" s="46">
        <v>0.75</v>
      </c>
      <c r="AS36" s="46">
        <v>0.95</v>
      </c>
      <c r="AT36" s="47"/>
      <c r="AU36" s="46">
        <v>0.25</v>
      </c>
      <c r="AV36" s="46">
        <v>0.5</v>
      </c>
      <c r="AW36" s="46">
        <v>0.75</v>
      </c>
      <c r="AX36" s="46">
        <v>0.95</v>
      </c>
    </row>
    <row r="37" spans="2:51" x14ac:dyDescent="0.25">
      <c r="B37" s="2">
        <v>2</v>
      </c>
      <c r="C37" s="2">
        <v>0</v>
      </c>
      <c r="D37" s="2">
        <v>19</v>
      </c>
      <c r="E37" s="2">
        <v>0</v>
      </c>
      <c r="F37" s="2">
        <v>0</v>
      </c>
      <c r="G37" s="2">
        <f t="shared" si="12"/>
        <v>19</v>
      </c>
      <c r="H37" s="2">
        <f t="shared" si="13"/>
        <v>0.95</v>
      </c>
      <c r="I37" s="2">
        <v>0</v>
      </c>
      <c r="J37" s="2">
        <v>0</v>
      </c>
      <c r="K37" s="2">
        <v>0</v>
      </c>
      <c r="L37" s="2">
        <v>0</v>
      </c>
      <c r="M37" s="2">
        <f t="shared" si="14"/>
        <v>0</v>
      </c>
      <c r="N37" s="2">
        <f t="shared" si="15"/>
        <v>0</v>
      </c>
      <c r="O37" s="2">
        <v>1</v>
      </c>
      <c r="P37" s="2">
        <v>0</v>
      </c>
      <c r="Q37" s="2">
        <v>4</v>
      </c>
      <c r="R37" s="2">
        <v>0</v>
      </c>
      <c r="S37" s="2">
        <f t="shared" si="16"/>
        <v>5</v>
      </c>
      <c r="T37" s="2">
        <f t="shared" si="17"/>
        <v>0.25</v>
      </c>
      <c r="U37" s="2">
        <v>0</v>
      </c>
      <c r="V37" s="2">
        <v>0</v>
      </c>
      <c r="W37" s="2">
        <v>1</v>
      </c>
      <c r="X37" s="2">
        <v>0</v>
      </c>
      <c r="Y37" s="2">
        <f t="shared" si="18"/>
        <v>1</v>
      </c>
      <c r="Z37" s="2">
        <f t="shared" si="19"/>
        <v>0.05</v>
      </c>
      <c r="AB37" s="2">
        <v>2</v>
      </c>
      <c r="AC37" s="2">
        <f>SUM($H$35:H37)</f>
        <v>2.0999999999999996</v>
      </c>
      <c r="AD37" s="2">
        <f t="shared" si="20"/>
        <v>3.2915360501567394</v>
      </c>
      <c r="AE37" s="2">
        <f>SUM($N$35:N37)</f>
        <v>3.2</v>
      </c>
      <c r="AF37" s="2">
        <f t="shared" si="21"/>
        <v>6.3936063936063947</v>
      </c>
      <c r="AG37" s="2">
        <f>SUM($T$35:T37)</f>
        <v>0.25</v>
      </c>
      <c r="AH37" s="2">
        <f t="shared" si="22"/>
        <v>0.33311125916055961</v>
      </c>
      <c r="AI37" s="2">
        <f>SUM($Z$35:Z37)</f>
        <v>0.95000000000000007</v>
      </c>
      <c r="AJ37" s="2">
        <f t="shared" si="23"/>
        <v>1.1501210653753029</v>
      </c>
      <c r="AK37" s="44">
        <v>0.95</v>
      </c>
      <c r="AO37" s="7" t="s">
        <v>9</v>
      </c>
      <c r="AP37" s="2">
        <v>6</v>
      </c>
      <c r="AQ37" s="2">
        <v>11</v>
      </c>
      <c r="AR37" s="2">
        <v>16</v>
      </c>
      <c r="AS37" s="2">
        <v>23</v>
      </c>
      <c r="AT37" s="7" t="s">
        <v>9</v>
      </c>
      <c r="AU37" s="2">
        <v>6</v>
      </c>
      <c r="AV37" s="2">
        <v>14</v>
      </c>
      <c r="AW37" s="2">
        <v>21</v>
      </c>
      <c r="AX37" s="2">
        <v>23</v>
      </c>
    </row>
    <row r="38" spans="2:51" x14ac:dyDescent="0.25">
      <c r="B38" s="2">
        <v>3</v>
      </c>
      <c r="C38" s="2">
        <v>0</v>
      </c>
      <c r="D38" s="2">
        <v>0</v>
      </c>
      <c r="E38" s="2">
        <v>0</v>
      </c>
      <c r="F38" s="2">
        <v>32</v>
      </c>
      <c r="G38" s="2">
        <f t="shared" si="12"/>
        <v>32</v>
      </c>
      <c r="H38" s="2">
        <f t="shared" si="13"/>
        <v>1.6</v>
      </c>
      <c r="I38" s="2">
        <v>8</v>
      </c>
      <c r="J38" s="2">
        <v>0</v>
      </c>
      <c r="K38" s="2">
        <v>0</v>
      </c>
      <c r="L38" s="2">
        <v>4</v>
      </c>
      <c r="M38" s="2">
        <f t="shared" si="14"/>
        <v>12</v>
      </c>
      <c r="N38" s="2">
        <f t="shared" si="15"/>
        <v>0.6</v>
      </c>
      <c r="O38" s="2">
        <v>10</v>
      </c>
      <c r="P38" s="2">
        <v>0</v>
      </c>
      <c r="Q38" s="2">
        <v>0</v>
      </c>
      <c r="R38" s="2">
        <v>0</v>
      </c>
      <c r="S38" s="2">
        <f t="shared" si="16"/>
        <v>10</v>
      </c>
      <c r="T38" s="2">
        <f t="shared" si="17"/>
        <v>0.5</v>
      </c>
      <c r="U38" s="2">
        <v>0</v>
      </c>
      <c r="V38" s="2">
        <v>0</v>
      </c>
      <c r="W38" s="2">
        <v>1</v>
      </c>
      <c r="X38" s="2">
        <v>2</v>
      </c>
      <c r="Y38" s="2">
        <f t="shared" si="18"/>
        <v>3</v>
      </c>
      <c r="Z38" s="2">
        <f t="shared" si="19"/>
        <v>0.15</v>
      </c>
      <c r="AB38" s="2">
        <v>3</v>
      </c>
      <c r="AC38" s="2">
        <f>SUM($H$35:H38)</f>
        <v>3.6999999999999997</v>
      </c>
      <c r="AD38" s="2">
        <f t="shared" si="20"/>
        <v>5.7993730407523509</v>
      </c>
      <c r="AE38" s="2">
        <f>SUM($N$35:N38)</f>
        <v>3.8000000000000003</v>
      </c>
      <c r="AF38" s="2">
        <f t="shared" si="21"/>
        <v>7.5924075924075938</v>
      </c>
      <c r="AG38" s="2">
        <f>SUM($T$35:T38)</f>
        <v>0.75</v>
      </c>
      <c r="AH38" s="2">
        <f t="shared" si="22"/>
        <v>0.99933377748167884</v>
      </c>
      <c r="AI38" s="2">
        <f>SUM($Z$35:Z38)</f>
        <v>1.1000000000000001</v>
      </c>
      <c r="AJ38" s="2">
        <f t="shared" si="23"/>
        <v>1.331719128329298</v>
      </c>
      <c r="AO38" s="7" t="s">
        <v>10</v>
      </c>
      <c r="AP38" s="2">
        <v>4</v>
      </c>
      <c r="AQ38" s="2">
        <v>8</v>
      </c>
      <c r="AR38" s="2">
        <v>16</v>
      </c>
      <c r="AS38" s="2">
        <v>23</v>
      </c>
      <c r="AT38" s="7" t="s">
        <v>10</v>
      </c>
      <c r="AU38" s="2">
        <v>7</v>
      </c>
      <c r="AV38" s="2">
        <v>15</v>
      </c>
      <c r="AW38" s="2">
        <v>22</v>
      </c>
      <c r="AX38" s="2">
        <v>24</v>
      </c>
    </row>
    <row r="39" spans="2:51" x14ac:dyDescent="0.25">
      <c r="B39" s="2">
        <v>4</v>
      </c>
      <c r="C39" s="2">
        <v>59</v>
      </c>
      <c r="D39" s="2">
        <v>79</v>
      </c>
      <c r="E39" s="2">
        <v>70</v>
      </c>
      <c r="F39" s="2">
        <v>2</v>
      </c>
      <c r="G39" s="2">
        <f t="shared" si="12"/>
        <v>210</v>
      </c>
      <c r="H39" s="2">
        <f t="shared" si="13"/>
        <v>10.5</v>
      </c>
      <c r="I39" s="2">
        <v>0</v>
      </c>
      <c r="J39" s="2">
        <v>0</v>
      </c>
      <c r="K39" s="2">
        <v>3</v>
      </c>
      <c r="L39" s="2">
        <v>7</v>
      </c>
      <c r="M39" s="2">
        <f t="shared" si="14"/>
        <v>10</v>
      </c>
      <c r="N39" s="2">
        <f t="shared" si="15"/>
        <v>0.5</v>
      </c>
      <c r="O39" s="2">
        <v>0</v>
      </c>
      <c r="P39" s="2">
        <v>0</v>
      </c>
      <c r="Q39" s="2">
        <v>40</v>
      </c>
      <c r="R39" s="2">
        <v>0</v>
      </c>
      <c r="S39" s="2">
        <f t="shared" si="16"/>
        <v>40</v>
      </c>
      <c r="T39" s="2">
        <f t="shared" si="17"/>
        <v>2</v>
      </c>
      <c r="U39" s="2">
        <v>2</v>
      </c>
      <c r="V39" s="2">
        <v>5</v>
      </c>
      <c r="W39" s="2">
        <v>0</v>
      </c>
      <c r="X39" s="2">
        <v>9</v>
      </c>
      <c r="Y39" s="2">
        <f t="shared" si="18"/>
        <v>16</v>
      </c>
      <c r="Z39" s="2">
        <f t="shared" si="19"/>
        <v>0.8</v>
      </c>
      <c r="AB39" s="2">
        <v>4</v>
      </c>
      <c r="AC39" s="2">
        <f>SUM($H$35:H39)</f>
        <v>14.2</v>
      </c>
      <c r="AD39" s="2">
        <f t="shared" si="20"/>
        <v>22.257053291536049</v>
      </c>
      <c r="AE39" s="2">
        <f>SUM($N$35:N39)</f>
        <v>4.3000000000000007</v>
      </c>
      <c r="AF39" s="2">
        <f t="shared" si="21"/>
        <v>8.5914085914085927</v>
      </c>
      <c r="AG39" s="2">
        <f>SUM($T$35:T39)</f>
        <v>2.75</v>
      </c>
      <c r="AH39" s="2">
        <f t="shared" si="22"/>
        <v>3.664223850766156</v>
      </c>
      <c r="AI39" s="2">
        <f>SUM($Z$35:Z39)</f>
        <v>1.9000000000000001</v>
      </c>
      <c r="AJ39" s="2">
        <f t="shared" si="23"/>
        <v>2.3002421307506058</v>
      </c>
      <c r="AO39" s="7" t="s">
        <v>11</v>
      </c>
      <c r="AP39" s="2">
        <v>8</v>
      </c>
      <c r="AQ39" s="2">
        <v>13</v>
      </c>
      <c r="AR39" s="2">
        <v>19</v>
      </c>
      <c r="AS39" s="2">
        <v>24</v>
      </c>
      <c r="AT39" s="7" t="s">
        <v>11</v>
      </c>
      <c r="AU39" s="2">
        <v>10</v>
      </c>
      <c r="AV39" s="2">
        <v>14</v>
      </c>
      <c r="AW39" s="2">
        <v>22</v>
      </c>
      <c r="AX39" s="2">
        <v>23</v>
      </c>
    </row>
    <row r="40" spans="2:51" x14ac:dyDescent="0.25">
      <c r="B40" s="2">
        <v>5</v>
      </c>
      <c r="C40" s="2">
        <v>0</v>
      </c>
      <c r="D40" s="2">
        <v>1</v>
      </c>
      <c r="E40" s="2">
        <v>0</v>
      </c>
      <c r="F40" s="2">
        <v>22</v>
      </c>
      <c r="G40" s="2">
        <f t="shared" si="12"/>
        <v>23</v>
      </c>
      <c r="H40" s="2">
        <f t="shared" si="13"/>
        <v>1.1499999999999999</v>
      </c>
      <c r="I40" s="2">
        <v>0</v>
      </c>
      <c r="J40" s="2">
        <v>0</v>
      </c>
      <c r="K40" s="2">
        <v>0</v>
      </c>
      <c r="L40" s="2">
        <v>0</v>
      </c>
      <c r="M40" s="2">
        <f t="shared" si="14"/>
        <v>0</v>
      </c>
      <c r="N40" s="2">
        <f t="shared" si="15"/>
        <v>0</v>
      </c>
      <c r="O40" s="2">
        <v>0</v>
      </c>
      <c r="P40" s="2">
        <v>2</v>
      </c>
      <c r="Q40" s="2">
        <v>17</v>
      </c>
      <c r="R40" s="2">
        <v>1</v>
      </c>
      <c r="S40" s="2">
        <f t="shared" si="16"/>
        <v>20</v>
      </c>
      <c r="T40" s="2">
        <f t="shared" si="17"/>
        <v>1</v>
      </c>
      <c r="U40" s="2">
        <v>2</v>
      </c>
      <c r="V40" s="2">
        <v>9</v>
      </c>
      <c r="W40" s="2">
        <v>0</v>
      </c>
      <c r="X40" s="2">
        <v>0</v>
      </c>
      <c r="Y40" s="2">
        <f t="shared" si="18"/>
        <v>11</v>
      </c>
      <c r="Z40" s="2">
        <f t="shared" si="19"/>
        <v>0.55000000000000004</v>
      </c>
      <c r="AB40" s="2">
        <v>5</v>
      </c>
      <c r="AC40" s="2">
        <f>SUM($H$35:H40)</f>
        <v>15.35</v>
      </c>
      <c r="AD40" s="2">
        <f t="shared" si="20"/>
        <v>24.059561128526646</v>
      </c>
      <c r="AE40" s="2">
        <f>SUM($N$35:N40)</f>
        <v>4.3000000000000007</v>
      </c>
      <c r="AF40" s="2">
        <f t="shared" si="21"/>
        <v>8.5914085914085927</v>
      </c>
      <c r="AG40" s="2">
        <f>SUM($T$35:T40)</f>
        <v>3.75</v>
      </c>
      <c r="AH40" s="2">
        <f t="shared" si="22"/>
        <v>4.9966688874083944</v>
      </c>
      <c r="AI40" s="2">
        <f>SUM($Z$35:Z40)</f>
        <v>2.4500000000000002</v>
      </c>
      <c r="AJ40" s="2">
        <f t="shared" si="23"/>
        <v>2.9661016949152548</v>
      </c>
      <c r="AO40" s="7" t="s">
        <v>12</v>
      </c>
      <c r="AP40" s="2">
        <v>4</v>
      </c>
      <c r="AQ40" s="2">
        <v>10</v>
      </c>
      <c r="AR40" s="2">
        <v>16</v>
      </c>
      <c r="AS40" s="2">
        <v>24</v>
      </c>
      <c r="AT40" s="7" t="s">
        <v>12</v>
      </c>
      <c r="AU40" s="2">
        <v>11</v>
      </c>
      <c r="AV40" s="2">
        <v>12</v>
      </c>
      <c r="AW40" s="2">
        <v>15</v>
      </c>
      <c r="AX40" s="2">
        <v>24</v>
      </c>
    </row>
    <row r="41" spans="2:51" x14ac:dyDescent="0.25">
      <c r="B41" s="2">
        <v>6</v>
      </c>
      <c r="C41" s="2">
        <v>0</v>
      </c>
      <c r="D41" s="2">
        <v>0</v>
      </c>
      <c r="E41" s="2">
        <v>53</v>
      </c>
      <c r="F41" s="2">
        <v>0</v>
      </c>
      <c r="G41" s="2">
        <f t="shared" si="12"/>
        <v>53</v>
      </c>
      <c r="H41" s="2">
        <f t="shared" si="13"/>
        <v>2.65</v>
      </c>
      <c r="I41" s="2">
        <v>2</v>
      </c>
      <c r="J41" s="2">
        <v>10</v>
      </c>
      <c r="K41" s="2">
        <v>120</v>
      </c>
      <c r="L41" s="2">
        <v>0</v>
      </c>
      <c r="M41" s="2">
        <f t="shared" si="14"/>
        <v>132</v>
      </c>
      <c r="N41" s="2">
        <f t="shared" si="15"/>
        <v>6.6</v>
      </c>
      <c r="O41" s="2">
        <v>0</v>
      </c>
      <c r="P41" s="2">
        <v>1</v>
      </c>
      <c r="Q41" s="2">
        <v>0</v>
      </c>
      <c r="R41" s="2">
        <v>0</v>
      </c>
      <c r="S41" s="2">
        <f t="shared" si="16"/>
        <v>1</v>
      </c>
      <c r="T41" s="2">
        <f t="shared" si="17"/>
        <v>0.05</v>
      </c>
      <c r="U41" s="2">
        <v>3</v>
      </c>
      <c r="V41" s="2">
        <v>0</v>
      </c>
      <c r="W41" s="2">
        <v>11</v>
      </c>
      <c r="X41" s="2">
        <v>2</v>
      </c>
      <c r="Y41" s="2">
        <f t="shared" si="18"/>
        <v>16</v>
      </c>
      <c r="Z41" s="2">
        <f t="shared" si="19"/>
        <v>0.8</v>
      </c>
      <c r="AB41" s="2">
        <v>6</v>
      </c>
      <c r="AC41" s="2">
        <f>SUM($H$35:H41)</f>
        <v>18</v>
      </c>
      <c r="AD41" s="82">
        <f t="shared" si="20"/>
        <v>28.213166144200631</v>
      </c>
      <c r="AE41" s="2">
        <f>SUM($N$35:N41)</f>
        <v>10.9</v>
      </c>
      <c r="AF41" s="2">
        <f t="shared" si="21"/>
        <v>21.778221778221781</v>
      </c>
      <c r="AG41" s="2">
        <f>SUM($T$35:T41)</f>
        <v>3.8</v>
      </c>
      <c r="AH41" s="2">
        <f t="shared" si="22"/>
        <v>5.0632911392405067</v>
      </c>
      <c r="AI41" s="2">
        <f>SUM($Z$35:Z41)</f>
        <v>3.25</v>
      </c>
      <c r="AJ41" s="2">
        <f t="shared" si="23"/>
        <v>3.9346246973365617</v>
      </c>
    </row>
    <row r="42" spans="2:51" x14ac:dyDescent="0.25">
      <c r="B42" s="2">
        <v>7</v>
      </c>
      <c r="C42" s="2">
        <v>0</v>
      </c>
      <c r="D42" s="2">
        <v>0</v>
      </c>
      <c r="E42" s="2">
        <v>6</v>
      </c>
      <c r="F42" s="2">
        <v>0</v>
      </c>
      <c r="G42" s="2">
        <f t="shared" si="12"/>
        <v>6</v>
      </c>
      <c r="H42" s="2">
        <f t="shared" si="13"/>
        <v>0.3</v>
      </c>
      <c r="I42" s="2">
        <v>0</v>
      </c>
      <c r="J42" s="2">
        <v>2</v>
      </c>
      <c r="K42" s="2">
        <v>0</v>
      </c>
      <c r="L42" s="2">
        <v>41</v>
      </c>
      <c r="M42" s="2">
        <f t="shared" si="14"/>
        <v>43</v>
      </c>
      <c r="N42" s="2">
        <f t="shared" si="15"/>
        <v>2.15</v>
      </c>
      <c r="O42" s="2">
        <v>0</v>
      </c>
      <c r="P42" s="2">
        <v>0</v>
      </c>
      <c r="Q42" s="2">
        <v>0</v>
      </c>
      <c r="R42" s="2">
        <v>0</v>
      </c>
      <c r="S42" s="2">
        <f t="shared" si="16"/>
        <v>0</v>
      </c>
      <c r="T42" s="2">
        <f t="shared" si="17"/>
        <v>0</v>
      </c>
      <c r="U42" s="2">
        <v>2</v>
      </c>
      <c r="V42" s="2">
        <v>1</v>
      </c>
      <c r="W42" s="2">
        <v>0</v>
      </c>
      <c r="X42" s="2">
        <v>0</v>
      </c>
      <c r="Y42" s="2">
        <f t="shared" si="18"/>
        <v>3</v>
      </c>
      <c r="Z42" s="2">
        <f t="shared" si="19"/>
        <v>0.15</v>
      </c>
      <c r="AB42" s="2">
        <v>7</v>
      </c>
      <c r="AC42" s="2">
        <f>SUM($H$35:H42)</f>
        <v>18.3</v>
      </c>
      <c r="AD42" s="2">
        <f t="shared" si="20"/>
        <v>28.683385579937305</v>
      </c>
      <c r="AE42" s="2">
        <f>SUM($N$35:N42)</f>
        <v>13.05</v>
      </c>
      <c r="AF42" s="82">
        <f t="shared" si="21"/>
        <v>26.073926073926078</v>
      </c>
      <c r="AG42" s="2">
        <f>SUM($T$35:T42)</f>
        <v>3.8</v>
      </c>
      <c r="AH42" s="2">
        <f t="shared" si="22"/>
        <v>5.0632911392405067</v>
      </c>
      <c r="AI42" s="2">
        <f>SUM($Z$35:Z42)</f>
        <v>3.4</v>
      </c>
      <c r="AJ42" s="2">
        <f t="shared" si="23"/>
        <v>4.1162227602905572</v>
      </c>
    </row>
    <row r="43" spans="2:51" x14ac:dyDescent="0.25">
      <c r="B43" s="2">
        <v>8</v>
      </c>
      <c r="C43" s="2">
        <v>90</v>
      </c>
      <c r="D43" s="2">
        <v>1</v>
      </c>
      <c r="E43" s="2">
        <v>43</v>
      </c>
      <c r="F43" s="2">
        <v>0</v>
      </c>
      <c r="G43" s="2">
        <f t="shared" si="12"/>
        <v>134</v>
      </c>
      <c r="H43" s="2">
        <f t="shared" si="13"/>
        <v>6.7</v>
      </c>
      <c r="I43" s="2">
        <v>0</v>
      </c>
      <c r="J43" s="2">
        <v>18</v>
      </c>
      <c r="K43" s="2">
        <v>0</v>
      </c>
      <c r="L43" s="2">
        <v>45</v>
      </c>
      <c r="M43" s="2">
        <f t="shared" si="14"/>
        <v>63</v>
      </c>
      <c r="N43" s="2">
        <f t="shared" si="15"/>
        <v>3.15</v>
      </c>
      <c r="O43" s="2">
        <v>5</v>
      </c>
      <c r="P43" s="2">
        <v>0</v>
      </c>
      <c r="Q43" s="2">
        <v>0</v>
      </c>
      <c r="R43" s="2">
        <v>7</v>
      </c>
      <c r="S43" s="2">
        <f t="shared" si="16"/>
        <v>12</v>
      </c>
      <c r="T43" s="2">
        <f t="shared" si="17"/>
        <v>0.6</v>
      </c>
      <c r="U43" s="2">
        <v>9</v>
      </c>
      <c r="V43" s="2">
        <v>0</v>
      </c>
      <c r="W43" s="2">
        <v>21</v>
      </c>
      <c r="X43" s="2">
        <v>4</v>
      </c>
      <c r="Y43" s="2">
        <f t="shared" si="18"/>
        <v>34</v>
      </c>
      <c r="Z43" s="2">
        <f t="shared" si="19"/>
        <v>1.7</v>
      </c>
      <c r="AB43" s="2">
        <v>8</v>
      </c>
      <c r="AC43" s="2">
        <f>SUM($H$35:H43)</f>
        <v>25</v>
      </c>
      <c r="AD43" s="2">
        <f t="shared" si="20"/>
        <v>39.184952978056423</v>
      </c>
      <c r="AE43" s="2">
        <f>SUM($N$35:N43)</f>
        <v>16.2</v>
      </c>
      <c r="AF43" s="2">
        <f t="shared" si="21"/>
        <v>32.367632367632368</v>
      </c>
      <c r="AG43" s="2">
        <f>SUM($T$35:T43)</f>
        <v>4.3999999999999995</v>
      </c>
      <c r="AH43" s="2">
        <f t="shared" si="22"/>
        <v>5.862758161225849</v>
      </c>
      <c r="AI43" s="2">
        <f>SUM($Z$35:Z43)</f>
        <v>5.0999999999999996</v>
      </c>
      <c r="AJ43" s="2">
        <f t="shared" si="23"/>
        <v>6.1743341404358354</v>
      </c>
    </row>
    <row r="44" spans="2:51" x14ac:dyDescent="0.25">
      <c r="B44" s="2">
        <v>9</v>
      </c>
      <c r="C44" s="2">
        <v>3</v>
      </c>
      <c r="D44" s="2">
        <v>0</v>
      </c>
      <c r="E44" s="2">
        <v>12</v>
      </c>
      <c r="F44" s="2">
        <v>2</v>
      </c>
      <c r="G44" s="2">
        <f t="shared" si="12"/>
        <v>17</v>
      </c>
      <c r="H44" s="2">
        <f t="shared" si="13"/>
        <v>0.85</v>
      </c>
      <c r="I44" s="2">
        <v>1</v>
      </c>
      <c r="J44" s="2">
        <v>4</v>
      </c>
      <c r="K44" s="2">
        <v>2</v>
      </c>
      <c r="L44" s="2">
        <v>0</v>
      </c>
      <c r="M44" s="2">
        <f t="shared" si="14"/>
        <v>7</v>
      </c>
      <c r="N44" s="2">
        <f t="shared" si="15"/>
        <v>0.35</v>
      </c>
      <c r="O44" s="2">
        <v>84</v>
      </c>
      <c r="P44" s="2">
        <v>44</v>
      </c>
      <c r="Q44" s="2">
        <v>34</v>
      </c>
      <c r="R44" s="2">
        <v>27</v>
      </c>
      <c r="S44" s="2">
        <f t="shared" si="16"/>
        <v>189</v>
      </c>
      <c r="T44" s="2">
        <f t="shared" si="17"/>
        <v>9.4499999999999993</v>
      </c>
      <c r="U44" s="2">
        <v>64</v>
      </c>
      <c r="V44" s="2">
        <v>0</v>
      </c>
      <c r="W44" s="2">
        <v>4</v>
      </c>
      <c r="X44" s="2">
        <v>54</v>
      </c>
      <c r="Y44" s="2">
        <f t="shared" si="18"/>
        <v>122</v>
      </c>
      <c r="Z44" s="2">
        <f t="shared" si="19"/>
        <v>6.1</v>
      </c>
      <c r="AB44" s="2">
        <v>9</v>
      </c>
      <c r="AC44" s="2">
        <f>SUM($H$35:H44)</f>
        <v>25.85</v>
      </c>
      <c r="AD44" s="2">
        <f t="shared" si="20"/>
        <v>40.517241379310349</v>
      </c>
      <c r="AE44" s="2">
        <f>SUM($N$35:N44)</f>
        <v>16.55</v>
      </c>
      <c r="AF44" s="2">
        <f t="shared" si="21"/>
        <v>33.066933066933068</v>
      </c>
      <c r="AG44" s="2">
        <f>SUM($T$35:T44)</f>
        <v>13.849999999999998</v>
      </c>
      <c r="AH44" s="2">
        <f t="shared" si="22"/>
        <v>18.454363757495003</v>
      </c>
      <c r="AI44" s="2">
        <f>SUM($Z$35:Z44)</f>
        <v>11.2</v>
      </c>
      <c r="AJ44" s="2">
        <f t="shared" si="23"/>
        <v>13.559322033898304</v>
      </c>
    </row>
    <row r="45" spans="2:51" x14ac:dyDescent="0.25">
      <c r="B45" s="2">
        <v>10</v>
      </c>
      <c r="C45" s="2">
        <v>0</v>
      </c>
      <c r="D45" s="2">
        <v>0</v>
      </c>
      <c r="E45" s="2">
        <v>3</v>
      </c>
      <c r="F45" s="2">
        <v>0</v>
      </c>
      <c r="G45" s="2">
        <f t="shared" si="12"/>
        <v>3</v>
      </c>
      <c r="H45" s="2">
        <f t="shared" si="13"/>
        <v>0.15</v>
      </c>
      <c r="I45" s="2">
        <v>0</v>
      </c>
      <c r="J45" s="2">
        <v>0</v>
      </c>
      <c r="K45" s="2">
        <v>0</v>
      </c>
      <c r="L45" s="2">
        <v>0</v>
      </c>
      <c r="M45" s="2">
        <f t="shared" si="14"/>
        <v>0</v>
      </c>
      <c r="N45" s="2">
        <f t="shared" si="15"/>
        <v>0</v>
      </c>
      <c r="O45" s="2">
        <v>7</v>
      </c>
      <c r="P45" s="2">
        <v>13</v>
      </c>
      <c r="Q45" s="2">
        <v>71</v>
      </c>
      <c r="R45" s="2">
        <v>32</v>
      </c>
      <c r="S45" s="2">
        <f t="shared" si="16"/>
        <v>123</v>
      </c>
      <c r="T45" s="2">
        <f t="shared" si="17"/>
        <v>6.15</v>
      </c>
      <c r="U45" s="2">
        <v>22</v>
      </c>
      <c r="V45" s="2">
        <v>18</v>
      </c>
      <c r="W45" s="2">
        <v>2</v>
      </c>
      <c r="X45" s="2">
        <v>4</v>
      </c>
      <c r="Y45" s="2">
        <f t="shared" si="18"/>
        <v>46</v>
      </c>
      <c r="Z45" s="2">
        <f t="shared" si="19"/>
        <v>2.2999999999999998</v>
      </c>
      <c r="AB45" s="2">
        <v>10</v>
      </c>
      <c r="AC45" s="2">
        <f>SUM($H$35:H45)</f>
        <v>26</v>
      </c>
      <c r="AD45" s="2">
        <f t="shared" si="20"/>
        <v>40.752351097178682</v>
      </c>
      <c r="AE45" s="2">
        <f>SUM($N$35:N45)</f>
        <v>16.55</v>
      </c>
      <c r="AF45" s="2">
        <f t="shared" si="21"/>
        <v>33.066933066933068</v>
      </c>
      <c r="AG45" s="2">
        <f>SUM($T$35:T45)</f>
        <v>20</v>
      </c>
      <c r="AH45" s="82">
        <f t="shared" si="22"/>
        <v>26.648900732844773</v>
      </c>
      <c r="AI45" s="2">
        <f>SUM($Z$35:Z45)</f>
        <v>13.5</v>
      </c>
      <c r="AJ45" s="2">
        <f t="shared" si="23"/>
        <v>16.343825665859566</v>
      </c>
    </row>
    <row r="46" spans="2:51" x14ac:dyDescent="0.25">
      <c r="B46" s="2">
        <v>11</v>
      </c>
      <c r="C46" s="2">
        <v>0</v>
      </c>
      <c r="D46" s="2">
        <v>0</v>
      </c>
      <c r="E46" s="2">
        <v>12</v>
      </c>
      <c r="F46" s="2">
        <v>23</v>
      </c>
      <c r="G46" s="2">
        <f t="shared" si="12"/>
        <v>35</v>
      </c>
      <c r="H46" s="2">
        <f t="shared" si="13"/>
        <v>1.75</v>
      </c>
      <c r="I46" s="2">
        <v>0</v>
      </c>
      <c r="J46" s="2">
        <v>0</v>
      </c>
      <c r="K46" s="2">
        <v>0</v>
      </c>
      <c r="L46" s="2">
        <v>0</v>
      </c>
      <c r="M46" s="2">
        <f t="shared" si="14"/>
        <v>0</v>
      </c>
      <c r="N46" s="2">
        <f t="shared" si="15"/>
        <v>0</v>
      </c>
      <c r="O46" s="2">
        <v>14</v>
      </c>
      <c r="P46" s="2">
        <v>38</v>
      </c>
      <c r="Q46" s="2">
        <v>19</v>
      </c>
      <c r="R46" s="2">
        <v>4</v>
      </c>
      <c r="S46" s="2">
        <f t="shared" si="16"/>
        <v>75</v>
      </c>
      <c r="T46" s="2">
        <f t="shared" si="17"/>
        <v>3.75</v>
      </c>
      <c r="U46" s="2">
        <v>27</v>
      </c>
      <c r="V46" s="2">
        <v>34</v>
      </c>
      <c r="W46" s="2">
        <v>190</v>
      </c>
      <c r="X46" s="2">
        <v>123</v>
      </c>
      <c r="Y46" s="2">
        <f t="shared" si="18"/>
        <v>374</v>
      </c>
      <c r="Z46" s="2">
        <f t="shared" si="19"/>
        <v>18.7</v>
      </c>
      <c r="AB46" s="2">
        <v>11</v>
      </c>
      <c r="AC46" s="2">
        <f>SUM($H$35:H46)</f>
        <v>27.75</v>
      </c>
      <c r="AD46" s="2">
        <f t="shared" si="20"/>
        <v>43.495297805642636</v>
      </c>
      <c r="AE46" s="2">
        <f>SUM($N$35:N46)</f>
        <v>16.55</v>
      </c>
      <c r="AF46" s="2">
        <f t="shared" si="21"/>
        <v>33.066933066933068</v>
      </c>
      <c r="AG46" s="2">
        <f>SUM($T$35:T46)</f>
        <v>23.75</v>
      </c>
      <c r="AH46" s="2">
        <f t="shared" si="22"/>
        <v>31.645569620253166</v>
      </c>
      <c r="AI46" s="2">
        <f>SUM($Z$35:Z46)</f>
        <v>32.200000000000003</v>
      </c>
      <c r="AJ46" s="82">
        <f t="shared" si="23"/>
        <v>38.983050847457633</v>
      </c>
    </row>
    <row r="47" spans="2:51" x14ac:dyDescent="0.25">
      <c r="B47" s="2">
        <v>12</v>
      </c>
      <c r="C47" s="2">
        <v>0</v>
      </c>
      <c r="D47" s="2">
        <v>14</v>
      </c>
      <c r="E47" s="2">
        <v>19</v>
      </c>
      <c r="F47" s="2">
        <v>15</v>
      </c>
      <c r="G47" s="2">
        <f t="shared" si="12"/>
        <v>48</v>
      </c>
      <c r="H47" s="2">
        <f t="shared" si="13"/>
        <v>2.4</v>
      </c>
      <c r="I47" s="2">
        <v>0</v>
      </c>
      <c r="J47" s="2">
        <v>9</v>
      </c>
      <c r="K47" s="2">
        <v>15</v>
      </c>
      <c r="L47" s="2">
        <v>0</v>
      </c>
      <c r="M47" s="2">
        <f t="shared" si="14"/>
        <v>24</v>
      </c>
      <c r="N47" s="2">
        <f t="shared" si="15"/>
        <v>1.2</v>
      </c>
      <c r="O47" s="2">
        <v>0</v>
      </c>
      <c r="P47" s="2">
        <v>25</v>
      </c>
      <c r="Q47" s="2">
        <v>38</v>
      </c>
      <c r="R47" s="2">
        <v>9</v>
      </c>
      <c r="S47" s="2">
        <f t="shared" si="16"/>
        <v>72</v>
      </c>
      <c r="T47" s="2">
        <f t="shared" si="17"/>
        <v>3.6</v>
      </c>
      <c r="U47" s="2">
        <v>32</v>
      </c>
      <c r="V47" s="2">
        <v>42</v>
      </c>
      <c r="W47" s="2">
        <v>48</v>
      </c>
      <c r="X47" s="2">
        <v>94</v>
      </c>
      <c r="Y47" s="2">
        <f t="shared" si="18"/>
        <v>216</v>
      </c>
      <c r="Z47" s="2">
        <f t="shared" si="19"/>
        <v>10.8</v>
      </c>
      <c r="AB47" s="2">
        <v>12</v>
      </c>
      <c r="AC47" s="2">
        <f>SUM($H$35:H47)</f>
        <v>30.15</v>
      </c>
      <c r="AD47" s="2">
        <f t="shared" si="20"/>
        <v>47.257053291536053</v>
      </c>
      <c r="AE47" s="2">
        <f>SUM($N$35:N47)</f>
        <v>17.75</v>
      </c>
      <c r="AF47" s="2">
        <f t="shared" si="21"/>
        <v>35.464535464535466</v>
      </c>
      <c r="AG47" s="2">
        <f>SUM($T$35:T47)</f>
        <v>27.35</v>
      </c>
      <c r="AH47" s="2">
        <f t="shared" si="22"/>
        <v>36.442371752165229</v>
      </c>
      <c r="AI47" s="2">
        <f>SUM($Z$35:Z47)</f>
        <v>43</v>
      </c>
      <c r="AJ47" s="83">
        <f t="shared" si="23"/>
        <v>52.058111380145277</v>
      </c>
    </row>
    <row r="48" spans="2:51" x14ac:dyDescent="0.25">
      <c r="B48" s="2">
        <v>13</v>
      </c>
      <c r="C48" s="2">
        <v>0</v>
      </c>
      <c r="D48" s="2">
        <v>1</v>
      </c>
      <c r="E48" s="2">
        <v>7</v>
      </c>
      <c r="F48" s="2">
        <v>16</v>
      </c>
      <c r="G48" s="2">
        <f t="shared" si="12"/>
        <v>24</v>
      </c>
      <c r="H48" s="2">
        <f t="shared" si="13"/>
        <v>1.2</v>
      </c>
      <c r="I48" s="2">
        <v>7</v>
      </c>
      <c r="J48" s="2">
        <v>10</v>
      </c>
      <c r="K48" s="2">
        <v>18</v>
      </c>
      <c r="L48" s="2">
        <v>0</v>
      </c>
      <c r="M48" s="2">
        <f t="shared" si="14"/>
        <v>35</v>
      </c>
      <c r="N48" s="2">
        <f t="shared" si="15"/>
        <v>1.75</v>
      </c>
      <c r="O48" s="2">
        <v>30</v>
      </c>
      <c r="P48" s="2">
        <v>38</v>
      </c>
      <c r="Q48" s="2">
        <v>55</v>
      </c>
      <c r="R48" s="2">
        <v>0</v>
      </c>
      <c r="S48" s="2">
        <f t="shared" si="16"/>
        <v>123</v>
      </c>
      <c r="T48" s="2">
        <f t="shared" si="17"/>
        <v>6.15</v>
      </c>
      <c r="U48" s="2">
        <v>60</v>
      </c>
      <c r="V48" s="2">
        <v>13</v>
      </c>
      <c r="W48" s="2">
        <v>68</v>
      </c>
      <c r="X48" s="2">
        <v>115</v>
      </c>
      <c r="Y48" s="2">
        <f t="shared" si="18"/>
        <v>256</v>
      </c>
      <c r="Z48" s="2">
        <f t="shared" si="19"/>
        <v>12.8</v>
      </c>
      <c r="AB48" s="2">
        <v>13</v>
      </c>
      <c r="AC48" s="2">
        <f>SUM($H$35:H48)</f>
        <v>31.349999999999998</v>
      </c>
      <c r="AD48" s="2">
        <f t="shared" si="20"/>
        <v>49.137931034482754</v>
      </c>
      <c r="AE48" s="2">
        <f>SUM($N$35:N48)</f>
        <v>19.5</v>
      </c>
      <c r="AF48" s="2">
        <f t="shared" si="21"/>
        <v>38.961038961038966</v>
      </c>
      <c r="AG48" s="2">
        <f>SUM($T$35:T48)</f>
        <v>33.5</v>
      </c>
      <c r="AH48" s="2">
        <f t="shared" si="22"/>
        <v>44.636908727514992</v>
      </c>
      <c r="AI48" s="2">
        <f>SUM($Z$35:Z48)</f>
        <v>55.8</v>
      </c>
      <c r="AJ48" s="2">
        <f t="shared" si="23"/>
        <v>67.554479418886203</v>
      </c>
    </row>
    <row r="49" spans="2:36" x14ac:dyDescent="0.25">
      <c r="B49" s="2">
        <v>14</v>
      </c>
      <c r="C49" s="2">
        <v>0</v>
      </c>
      <c r="D49" s="2">
        <v>4</v>
      </c>
      <c r="E49" s="2">
        <v>68</v>
      </c>
      <c r="F49" s="2">
        <v>0</v>
      </c>
      <c r="G49" s="2">
        <f t="shared" si="12"/>
        <v>72</v>
      </c>
      <c r="H49" s="2">
        <f t="shared" si="13"/>
        <v>3.6</v>
      </c>
      <c r="I49" s="2">
        <v>46</v>
      </c>
      <c r="J49" s="2">
        <v>0</v>
      </c>
      <c r="K49" s="2">
        <v>1</v>
      </c>
      <c r="L49" s="2">
        <v>0</v>
      </c>
      <c r="M49" s="2">
        <f t="shared" si="14"/>
        <v>47</v>
      </c>
      <c r="N49" s="2">
        <f t="shared" si="15"/>
        <v>2.35</v>
      </c>
      <c r="O49" s="2">
        <v>29</v>
      </c>
      <c r="P49" s="2">
        <v>32</v>
      </c>
      <c r="Q49" s="2">
        <v>56</v>
      </c>
      <c r="R49" s="2">
        <v>75</v>
      </c>
      <c r="S49" s="2">
        <f t="shared" si="16"/>
        <v>192</v>
      </c>
      <c r="T49" s="2">
        <f t="shared" si="17"/>
        <v>9.6</v>
      </c>
      <c r="U49" s="2">
        <v>9</v>
      </c>
      <c r="V49" s="2">
        <v>0</v>
      </c>
      <c r="W49" s="2">
        <v>50</v>
      </c>
      <c r="X49" s="2">
        <v>33</v>
      </c>
      <c r="Y49" s="2">
        <f t="shared" si="18"/>
        <v>92</v>
      </c>
      <c r="Z49" s="2">
        <f t="shared" si="19"/>
        <v>4.5999999999999996</v>
      </c>
      <c r="AB49" s="2">
        <v>14</v>
      </c>
      <c r="AC49" s="2">
        <f>SUM($H$35:H49)</f>
        <v>34.949999999999996</v>
      </c>
      <c r="AD49" s="83">
        <f t="shared" si="20"/>
        <v>54.780564263322887</v>
      </c>
      <c r="AE49" s="2">
        <f>SUM($N$35:N49)</f>
        <v>21.85</v>
      </c>
      <c r="AF49" s="2">
        <f t="shared" si="21"/>
        <v>43.656343656343658</v>
      </c>
      <c r="AG49" s="2">
        <f>SUM($T$35:T49)</f>
        <v>43.1</v>
      </c>
      <c r="AH49" s="83">
        <f t="shared" si="22"/>
        <v>57.428381079280491</v>
      </c>
      <c r="AI49" s="2">
        <f>SUM($Z$35:Z49)</f>
        <v>60.4</v>
      </c>
      <c r="AJ49" s="2">
        <f t="shared" si="23"/>
        <v>73.123486682808732</v>
      </c>
    </row>
    <row r="50" spans="2:36" x14ac:dyDescent="0.25">
      <c r="B50" s="2">
        <v>15</v>
      </c>
      <c r="C50" s="2">
        <v>2</v>
      </c>
      <c r="D50" s="2">
        <v>15</v>
      </c>
      <c r="E50" s="2">
        <v>34</v>
      </c>
      <c r="F50" s="2">
        <v>0</v>
      </c>
      <c r="G50" s="2">
        <f t="shared" si="12"/>
        <v>51</v>
      </c>
      <c r="H50" s="2">
        <f t="shared" si="13"/>
        <v>2.5499999999999998</v>
      </c>
      <c r="I50" s="2">
        <v>70</v>
      </c>
      <c r="J50" s="2">
        <v>0</v>
      </c>
      <c r="K50" s="2">
        <v>0</v>
      </c>
      <c r="L50" s="2">
        <v>0</v>
      </c>
      <c r="M50" s="2">
        <f t="shared" si="14"/>
        <v>70</v>
      </c>
      <c r="N50" s="2">
        <f t="shared" si="15"/>
        <v>3.5</v>
      </c>
      <c r="O50" s="2">
        <v>39</v>
      </c>
      <c r="P50" s="2">
        <v>37</v>
      </c>
      <c r="Q50" s="2">
        <v>7</v>
      </c>
      <c r="R50" s="2">
        <v>4</v>
      </c>
      <c r="S50" s="2">
        <f t="shared" si="16"/>
        <v>87</v>
      </c>
      <c r="T50" s="2">
        <f t="shared" si="17"/>
        <v>4.3499999999999996</v>
      </c>
      <c r="U50" s="2">
        <v>5</v>
      </c>
      <c r="V50" s="2">
        <v>3</v>
      </c>
      <c r="W50" s="2">
        <v>15</v>
      </c>
      <c r="X50" s="2">
        <v>19</v>
      </c>
      <c r="Y50" s="2">
        <f t="shared" si="18"/>
        <v>42</v>
      </c>
      <c r="Z50" s="2">
        <f t="shared" si="19"/>
        <v>2.1</v>
      </c>
      <c r="AB50" s="2">
        <v>15</v>
      </c>
      <c r="AC50" s="2">
        <f>SUM($H$35:H50)</f>
        <v>37.499999999999993</v>
      </c>
      <c r="AD50" s="2">
        <f t="shared" si="20"/>
        <v>58.77742946708463</v>
      </c>
      <c r="AE50" s="2">
        <f>SUM($N$35:N50)</f>
        <v>25.35</v>
      </c>
      <c r="AF50" s="83">
        <f t="shared" si="21"/>
        <v>50.649350649350652</v>
      </c>
      <c r="AG50" s="2">
        <f>SUM($T$35:T50)</f>
        <v>47.45</v>
      </c>
      <c r="AH50" s="2">
        <f t="shared" si="22"/>
        <v>63.224516988674232</v>
      </c>
      <c r="AI50" s="2">
        <f>SUM($Z$35:Z50)</f>
        <v>62.5</v>
      </c>
      <c r="AJ50" s="84">
        <f t="shared" si="23"/>
        <v>75.665859564164649</v>
      </c>
    </row>
    <row r="51" spans="2:36" x14ac:dyDescent="0.25">
      <c r="B51" s="2">
        <v>16</v>
      </c>
      <c r="C51" s="2">
        <v>0</v>
      </c>
      <c r="D51" s="2">
        <v>28</v>
      </c>
      <c r="E51" s="2">
        <v>5</v>
      </c>
      <c r="F51" s="2">
        <v>0</v>
      </c>
      <c r="G51" s="2">
        <f t="shared" si="12"/>
        <v>33</v>
      </c>
      <c r="H51" s="2">
        <f t="shared" si="13"/>
        <v>1.65</v>
      </c>
      <c r="I51" s="2">
        <v>0</v>
      </c>
      <c r="J51" s="2">
        <v>5</v>
      </c>
      <c r="K51" s="2">
        <v>0</v>
      </c>
      <c r="L51" s="2">
        <v>0</v>
      </c>
      <c r="M51" s="2">
        <f t="shared" si="14"/>
        <v>5</v>
      </c>
      <c r="N51" s="2">
        <f t="shared" si="15"/>
        <v>0.25</v>
      </c>
      <c r="O51" s="2">
        <v>2</v>
      </c>
      <c r="P51" s="2">
        <v>3</v>
      </c>
      <c r="Q51" s="2">
        <v>26</v>
      </c>
      <c r="R51" s="2">
        <v>2</v>
      </c>
      <c r="S51" s="2">
        <f t="shared" si="16"/>
        <v>33</v>
      </c>
      <c r="T51" s="2">
        <f t="shared" si="17"/>
        <v>1.65</v>
      </c>
      <c r="U51" s="2">
        <v>0</v>
      </c>
      <c r="V51" s="2">
        <v>0</v>
      </c>
      <c r="W51" s="2">
        <v>3</v>
      </c>
      <c r="X51" s="2">
        <v>14</v>
      </c>
      <c r="Y51" s="2">
        <f t="shared" si="18"/>
        <v>17</v>
      </c>
      <c r="Z51" s="2">
        <f t="shared" si="19"/>
        <v>0.85</v>
      </c>
      <c r="AB51" s="2">
        <v>16</v>
      </c>
      <c r="AC51" s="2">
        <f>SUM($H$35:H51)</f>
        <v>39.149999999999991</v>
      </c>
      <c r="AD51" s="2">
        <f t="shared" si="20"/>
        <v>61.363636363636353</v>
      </c>
      <c r="AE51" s="2">
        <f>SUM($N$35:N51)</f>
        <v>25.6</v>
      </c>
      <c r="AF51" s="2">
        <f t="shared" si="21"/>
        <v>51.148851148851158</v>
      </c>
      <c r="AG51" s="2">
        <f>SUM($T$35:T51)</f>
        <v>49.1</v>
      </c>
      <c r="AH51" s="2">
        <f t="shared" si="22"/>
        <v>65.423051299133917</v>
      </c>
      <c r="AI51" s="2">
        <f>SUM($Z$35:Z51)</f>
        <v>63.35</v>
      </c>
      <c r="AJ51" s="2">
        <f t="shared" si="23"/>
        <v>76.694915254237301</v>
      </c>
    </row>
    <row r="52" spans="2:36" x14ac:dyDescent="0.25">
      <c r="B52" s="2">
        <v>17</v>
      </c>
      <c r="C52" s="2">
        <v>0</v>
      </c>
      <c r="D52" s="2">
        <v>4</v>
      </c>
      <c r="E52" s="2">
        <v>1</v>
      </c>
      <c r="F52" s="2">
        <v>0</v>
      </c>
      <c r="G52" s="2">
        <f t="shared" si="12"/>
        <v>5</v>
      </c>
      <c r="H52" s="2">
        <f t="shared" si="13"/>
        <v>0.25</v>
      </c>
      <c r="I52" s="2">
        <v>0</v>
      </c>
      <c r="J52" s="2">
        <v>7</v>
      </c>
      <c r="K52" s="2">
        <v>23</v>
      </c>
      <c r="L52" s="2">
        <v>0</v>
      </c>
      <c r="M52" s="2">
        <f t="shared" si="14"/>
        <v>30</v>
      </c>
      <c r="N52" s="2">
        <f t="shared" si="15"/>
        <v>1.5</v>
      </c>
      <c r="O52" s="2">
        <v>0</v>
      </c>
      <c r="P52" s="2">
        <v>5</v>
      </c>
      <c r="Q52" s="2">
        <v>0</v>
      </c>
      <c r="R52" s="2">
        <v>0</v>
      </c>
      <c r="S52" s="2">
        <f t="shared" si="16"/>
        <v>5</v>
      </c>
      <c r="T52" s="2">
        <f t="shared" si="17"/>
        <v>0.25</v>
      </c>
      <c r="U52" s="2">
        <v>0</v>
      </c>
      <c r="V52" s="2">
        <v>0</v>
      </c>
      <c r="W52" s="2">
        <v>20</v>
      </c>
      <c r="X52" s="2">
        <v>23</v>
      </c>
      <c r="Y52" s="2">
        <f t="shared" si="18"/>
        <v>43</v>
      </c>
      <c r="Z52" s="2">
        <f t="shared" si="19"/>
        <v>2.15</v>
      </c>
      <c r="AB52" s="2">
        <v>17</v>
      </c>
      <c r="AC52" s="2">
        <f>SUM($H$35:H52)</f>
        <v>39.399999999999991</v>
      </c>
      <c r="AD52" s="2">
        <f t="shared" si="20"/>
        <v>61.755485893416918</v>
      </c>
      <c r="AE52" s="2">
        <f>SUM($N$35:N52)</f>
        <v>27.1</v>
      </c>
      <c r="AF52" s="2">
        <f t="shared" si="21"/>
        <v>54.145854145854159</v>
      </c>
      <c r="AG52" s="2">
        <f>SUM($T$35:T52)</f>
        <v>49.35</v>
      </c>
      <c r="AH52" s="2">
        <f t="shared" si="22"/>
        <v>65.756162558294477</v>
      </c>
      <c r="AI52" s="2">
        <f>SUM($Z$35:Z52)</f>
        <v>65.5</v>
      </c>
      <c r="AJ52" s="2">
        <f t="shared" si="23"/>
        <v>79.297820823244564</v>
      </c>
    </row>
    <row r="53" spans="2:36" x14ac:dyDescent="0.25">
      <c r="B53" s="2">
        <v>18</v>
      </c>
      <c r="C53" s="2">
        <v>0</v>
      </c>
      <c r="D53" s="2">
        <v>0</v>
      </c>
      <c r="E53" s="2">
        <v>6</v>
      </c>
      <c r="F53" s="2">
        <v>1</v>
      </c>
      <c r="G53" s="2">
        <f t="shared" si="12"/>
        <v>7</v>
      </c>
      <c r="H53" s="2">
        <f t="shared" si="13"/>
        <v>0.35</v>
      </c>
      <c r="I53" s="2">
        <v>1</v>
      </c>
      <c r="J53" s="2">
        <v>0</v>
      </c>
      <c r="K53" s="2">
        <v>0</v>
      </c>
      <c r="L53" s="2">
        <v>4</v>
      </c>
      <c r="M53" s="2">
        <f t="shared" si="14"/>
        <v>5</v>
      </c>
      <c r="N53" s="2">
        <f t="shared" si="15"/>
        <v>0.25</v>
      </c>
      <c r="O53" s="2">
        <v>3</v>
      </c>
      <c r="P53" s="2">
        <v>0</v>
      </c>
      <c r="Q53" s="2">
        <v>10</v>
      </c>
      <c r="R53" s="2">
        <v>0</v>
      </c>
      <c r="S53" s="2">
        <f t="shared" si="16"/>
        <v>13</v>
      </c>
      <c r="T53" s="2">
        <f t="shared" si="17"/>
        <v>0.65</v>
      </c>
      <c r="U53" s="2">
        <v>5</v>
      </c>
      <c r="V53" s="2">
        <v>0</v>
      </c>
      <c r="W53" s="2">
        <v>21</v>
      </c>
      <c r="X53" s="2">
        <v>0</v>
      </c>
      <c r="Y53" s="2">
        <f t="shared" si="18"/>
        <v>26</v>
      </c>
      <c r="Z53" s="2">
        <f t="shared" si="19"/>
        <v>1.3</v>
      </c>
      <c r="AB53" s="2">
        <v>18</v>
      </c>
      <c r="AC53" s="2">
        <f>SUM($H$35:H53)</f>
        <v>39.749999999999993</v>
      </c>
      <c r="AD53" s="2">
        <f t="shared" si="20"/>
        <v>62.304075235109714</v>
      </c>
      <c r="AE53" s="2">
        <f>SUM($N$35:N53)</f>
        <v>27.35</v>
      </c>
      <c r="AF53" s="2">
        <f t="shared" si="21"/>
        <v>54.645354645354651</v>
      </c>
      <c r="AG53" s="2">
        <f>SUM($T$35:T53)</f>
        <v>50</v>
      </c>
      <c r="AH53" s="2">
        <f t="shared" si="22"/>
        <v>66.622251832111928</v>
      </c>
      <c r="AI53" s="2">
        <f>SUM($Z$35:Z53)</f>
        <v>66.8</v>
      </c>
      <c r="AJ53" s="2">
        <f t="shared" si="23"/>
        <v>80.871670702179173</v>
      </c>
    </row>
    <row r="54" spans="2:36" x14ac:dyDescent="0.25">
      <c r="B54" s="2">
        <v>19</v>
      </c>
      <c r="C54" s="2">
        <v>0</v>
      </c>
      <c r="D54" s="2">
        <v>20</v>
      </c>
      <c r="E54" s="2">
        <v>26</v>
      </c>
      <c r="F54" s="2">
        <v>7</v>
      </c>
      <c r="G54" s="2">
        <f t="shared" si="12"/>
        <v>53</v>
      </c>
      <c r="H54" s="2">
        <f t="shared" si="13"/>
        <v>2.65</v>
      </c>
      <c r="I54" s="2">
        <v>0</v>
      </c>
      <c r="J54" s="2">
        <v>0</v>
      </c>
      <c r="K54" s="2">
        <v>2</v>
      </c>
      <c r="L54" s="2">
        <v>9</v>
      </c>
      <c r="M54" s="2">
        <f t="shared" si="14"/>
        <v>11</v>
      </c>
      <c r="N54" s="2">
        <f t="shared" si="15"/>
        <v>0.55000000000000004</v>
      </c>
      <c r="O54" s="2">
        <v>0</v>
      </c>
      <c r="P54" s="2">
        <v>1</v>
      </c>
      <c r="Q54" s="2">
        <v>6</v>
      </c>
      <c r="R54" s="2">
        <v>0</v>
      </c>
      <c r="S54" s="2">
        <f t="shared" si="16"/>
        <v>7</v>
      </c>
      <c r="T54" s="2">
        <f t="shared" si="17"/>
        <v>0.35</v>
      </c>
      <c r="U54" s="2">
        <v>0</v>
      </c>
      <c r="V54" s="2">
        <v>3</v>
      </c>
      <c r="W54" s="2">
        <v>0</v>
      </c>
      <c r="X54" s="2">
        <v>9</v>
      </c>
      <c r="Y54" s="2">
        <f t="shared" si="18"/>
        <v>12</v>
      </c>
      <c r="Z54" s="2">
        <f t="shared" si="19"/>
        <v>0.6</v>
      </c>
      <c r="AB54" s="2">
        <v>19</v>
      </c>
      <c r="AC54" s="2">
        <f>SUM($H$35:H54)</f>
        <v>42.399999999999991</v>
      </c>
      <c r="AD54" s="2">
        <f t="shared" si="20"/>
        <v>66.457680250783696</v>
      </c>
      <c r="AE54" s="2">
        <f>SUM($N$35:N54)</f>
        <v>27.900000000000002</v>
      </c>
      <c r="AF54" s="2">
        <f t="shared" si="21"/>
        <v>55.744255744255753</v>
      </c>
      <c r="AG54" s="2">
        <f>SUM($T$35:T54)</f>
        <v>50.35</v>
      </c>
      <c r="AH54" s="2">
        <f t="shared" si="22"/>
        <v>67.088607594936718</v>
      </c>
      <c r="AI54" s="2">
        <f>SUM($Z$35:Z54)</f>
        <v>67.399999999999991</v>
      </c>
      <c r="AJ54" s="2">
        <f t="shared" si="23"/>
        <v>81.598062953995154</v>
      </c>
    </row>
    <row r="55" spans="2:36" x14ac:dyDescent="0.25">
      <c r="B55" s="2">
        <v>20</v>
      </c>
      <c r="C55" s="2">
        <v>27</v>
      </c>
      <c r="D55" s="2">
        <v>0</v>
      </c>
      <c r="E55" s="2">
        <v>9</v>
      </c>
      <c r="F55" s="2">
        <v>13</v>
      </c>
      <c r="G55" s="2">
        <f t="shared" si="12"/>
        <v>49</v>
      </c>
      <c r="H55" s="2">
        <f t="shared" si="13"/>
        <v>2.4500000000000002</v>
      </c>
      <c r="I55" s="2">
        <v>0</v>
      </c>
      <c r="J55" s="2">
        <v>1</v>
      </c>
      <c r="K55" s="2">
        <v>3</v>
      </c>
      <c r="L55" s="2">
        <v>0</v>
      </c>
      <c r="M55" s="2">
        <f t="shared" si="14"/>
        <v>4</v>
      </c>
      <c r="N55" s="2">
        <f t="shared" si="15"/>
        <v>0.2</v>
      </c>
      <c r="O55" s="2">
        <v>2</v>
      </c>
      <c r="P55" s="2">
        <v>0</v>
      </c>
      <c r="Q55" s="2">
        <v>1</v>
      </c>
      <c r="R55" s="2">
        <v>2</v>
      </c>
      <c r="S55" s="2">
        <f t="shared" si="16"/>
        <v>5</v>
      </c>
      <c r="T55" s="2">
        <f t="shared" si="17"/>
        <v>0.25</v>
      </c>
      <c r="U55" s="2">
        <v>7</v>
      </c>
      <c r="V55" s="2">
        <v>0</v>
      </c>
      <c r="W55" s="2">
        <v>0</v>
      </c>
      <c r="X55" s="2">
        <v>3</v>
      </c>
      <c r="Y55" s="2">
        <f t="shared" si="18"/>
        <v>10</v>
      </c>
      <c r="Z55" s="2">
        <f t="shared" si="19"/>
        <v>0.5</v>
      </c>
      <c r="AB55" s="2">
        <v>20</v>
      </c>
      <c r="AC55" s="2">
        <f>SUM($H$35:H55)</f>
        <v>44.849999999999994</v>
      </c>
      <c r="AD55" s="2">
        <f t="shared" si="20"/>
        <v>70.297805642633222</v>
      </c>
      <c r="AE55" s="2">
        <f>SUM($N$35:N55)</f>
        <v>28.1</v>
      </c>
      <c r="AF55" s="2">
        <f t="shared" si="21"/>
        <v>56.143856143856155</v>
      </c>
      <c r="AG55" s="2">
        <f>SUM($T$35:T55)</f>
        <v>50.6</v>
      </c>
      <c r="AH55" s="2">
        <f t="shared" si="22"/>
        <v>67.421718854097264</v>
      </c>
      <c r="AI55" s="2">
        <f>SUM($Z$35:Z55)</f>
        <v>67.899999999999991</v>
      </c>
      <c r="AJ55" s="2">
        <f t="shared" si="23"/>
        <v>82.20338983050847</v>
      </c>
    </row>
    <row r="56" spans="2:36" x14ac:dyDescent="0.25">
      <c r="B56" s="2">
        <v>21</v>
      </c>
      <c r="C56" s="2">
        <v>9</v>
      </c>
      <c r="D56" s="2">
        <v>29</v>
      </c>
      <c r="E56" s="2">
        <v>33</v>
      </c>
      <c r="F56" s="2">
        <v>8</v>
      </c>
      <c r="G56" s="2">
        <f t="shared" si="12"/>
        <v>79</v>
      </c>
      <c r="H56" s="2">
        <f t="shared" si="13"/>
        <v>3.95</v>
      </c>
      <c r="I56" s="2">
        <v>1</v>
      </c>
      <c r="J56" s="2">
        <v>0</v>
      </c>
      <c r="K56" s="2">
        <v>4</v>
      </c>
      <c r="L56" s="2">
        <v>3</v>
      </c>
      <c r="M56" s="2">
        <f t="shared" si="14"/>
        <v>8</v>
      </c>
      <c r="N56" s="2">
        <f t="shared" si="15"/>
        <v>0.4</v>
      </c>
      <c r="O56" s="2">
        <v>0</v>
      </c>
      <c r="P56" s="2">
        <v>7</v>
      </c>
      <c r="Q56" s="2">
        <v>0</v>
      </c>
      <c r="R56" s="2">
        <v>0</v>
      </c>
      <c r="S56" s="2">
        <f t="shared" si="16"/>
        <v>7</v>
      </c>
      <c r="T56" s="2">
        <f t="shared" si="17"/>
        <v>0.35</v>
      </c>
      <c r="U56" s="2">
        <v>0</v>
      </c>
      <c r="V56" s="2">
        <v>0</v>
      </c>
      <c r="W56" s="2">
        <v>10</v>
      </c>
      <c r="X56" s="2">
        <v>0</v>
      </c>
      <c r="Y56" s="2">
        <f t="shared" si="18"/>
        <v>10</v>
      </c>
      <c r="Z56" s="2">
        <f t="shared" si="19"/>
        <v>0.5</v>
      </c>
      <c r="AB56" s="2">
        <v>21</v>
      </c>
      <c r="AC56" s="2">
        <f>SUM($H$35:H56)</f>
        <v>48.8</v>
      </c>
      <c r="AD56" s="84">
        <f t="shared" si="20"/>
        <v>76.489028213166137</v>
      </c>
      <c r="AE56" s="2">
        <f>SUM($N$35:N56)</f>
        <v>28.5</v>
      </c>
      <c r="AF56" s="2">
        <f t="shared" si="21"/>
        <v>56.943056943056945</v>
      </c>
      <c r="AG56" s="2">
        <f>SUM($T$35:T56)</f>
        <v>50.95</v>
      </c>
      <c r="AH56" s="2">
        <f t="shared" si="22"/>
        <v>67.888074616922054</v>
      </c>
      <c r="AI56" s="2">
        <f>SUM($Z$35:Z56)</f>
        <v>68.399999999999991</v>
      </c>
      <c r="AJ56" s="2">
        <f t="shared" si="23"/>
        <v>82.808716707021787</v>
      </c>
    </row>
    <row r="57" spans="2:36" x14ac:dyDescent="0.25">
      <c r="B57" s="2">
        <v>22</v>
      </c>
      <c r="C57" s="2">
        <v>6</v>
      </c>
      <c r="D57" s="2">
        <v>43</v>
      </c>
      <c r="E57" s="2">
        <v>0</v>
      </c>
      <c r="F57" s="2">
        <v>111</v>
      </c>
      <c r="G57" s="2">
        <f t="shared" si="12"/>
        <v>160</v>
      </c>
      <c r="H57" s="2">
        <f t="shared" si="13"/>
        <v>8</v>
      </c>
      <c r="I57" s="2">
        <v>1</v>
      </c>
      <c r="J57" s="2">
        <v>0</v>
      </c>
      <c r="K57" s="2">
        <v>85</v>
      </c>
      <c r="L57" s="2">
        <v>92</v>
      </c>
      <c r="M57" s="2">
        <f t="shared" si="14"/>
        <v>178</v>
      </c>
      <c r="N57" s="2">
        <f t="shared" si="15"/>
        <v>8.9</v>
      </c>
      <c r="O57" s="2">
        <v>57</v>
      </c>
      <c r="P57" s="2">
        <v>1</v>
      </c>
      <c r="Q57" s="2">
        <v>68</v>
      </c>
      <c r="R57" s="2">
        <v>11</v>
      </c>
      <c r="S57" s="2">
        <f t="shared" si="16"/>
        <v>137</v>
      </c>
      <c r="T57" s="2">
        <f t="shared" si="17"/>
        <v>6.85</v>
      </c>
      <c r="U57" s="2">
        <v>1</v>
      </c>
      <c r="V57" s="2">
        <v>1</v>
      </c>
      <c r="W57" s="2">
        <v>2</v>
      </c>
      <c r="X57" s="2">
        <v>0</v>
      </c>
      <c r="Y57" s="2">
        <f t="shared" si="18"/>
        <v>4</v>
      </c>
      <c r="Z57" s="2">
        <f t="shared" si="19"/>
        <v>0.2</v>
      </c>
      <c r="AB57" s="2">
        <v>22</v>
      </c>
      <c r="AC57" s="2">
        <f>SUM($H$35:H57)</f>
        <v>56.8</v>
      </c>
      <c r="AD57" s="2">
        <f t="shared" si="20"/>
        <v>89.028213166144198</v>
      </c>
      <c r="AE57" s="2">
        <f>SUM($N$35:N57)</f>
        <v>37.4</v>
      </c>
      <c r="AF57" s="84">
        <f t="shared" si="21"/>
        <v>74.72527472527473</v>
      </c>
      <c r="AG57" s="2">
        <f>SUM($T$35:T57)</f>
        <v>57.800000000000004</v>
      </c>
      <c r="AH57" s="84">
        <f t="shared" si="22"/>
        <v>77.015323117921398</v>
      </c>
      <c r="AI57" s="2">
        <f>SUM($Z$35:Z57)</f>
        <v>68.599999999999994</v>
      </c>
      <c r="AJ57" s="2">
        <f t="shared" si="23"/>
        <v>83.050847457627114</v>
      </c>
    </row>
    <row r="58" spans="2:36" x14ac:dyDescent="0.25">
      <c r="B58" s="2">
        <v>23</v>
      </c>
      <c r="C58" s="2">
        <v>63</v>
      </c>
      <c r="D58" s="2">
        <v>34</v>
      </c>
      <c r="E58" s="2">
        <v>13</v>
      </c>
      <c r="F58" s="2">
        <v>0</v>
      </c>
      <c r="G58" s="2">
        <f t="shared" si="12"/>
        <v>110</v>
      </c>
      <c r="H58" s="2">
        <f t="shared" si="13"/>
        <v>5.5</v>
      </c>
      <c r="I58" s="2">
        <v>0</v>
      </c>
      <c r="J58" s="2">
        <v>0</v>
      </c>
      <c r="K58" s="2">
        <v>71</v>
      </c>
      <c r="L58" s="2">
        <v>34</v>
      </c>
      <c r="M58" s="2">
        <f t="shared" si="14"/>
        <v>105</v>
      </c>
      <c r="N58" s="2">
        <f t="shared" si="15"/>
        <v>5.25</v>
      </c>
      <c r="O58" s="2">
        <v>73</v>
      </c>
      <c r="P58" s="2">
        <v>148</v>
      </c>
      <c r="Q58" s="2">
        <v>2</v>
      </c>
      <c r="R58" s="2">
        <v>46</v>
      </c>
      <c r="S58" s="2">
        <f t="shared" si="16"/>
        <v>269</v>
      </c>
      <c r="T58" s="2">
        <f t="shared" si="17"/>
        <v>13.45</v>
      </c>
      <c r="U58" s="2">
        <v>3</v>
      </c>
      <c r="V58" s="2">
        <v>11</v>
      </c>
      <c r="W58" s="2">
        <v>0</v>
      </c>
      <c r="X58" s="2">
        <v>14</v>
      </c>
      <c r="Y58" s="2">
        <f t="shared" si="18"/>
        <v>28</v>
      </c>
      <c r="Z58" s="2">
        <f t="shared" si="19"/>
        <v>1.4</v>
      </c>
      <c r="AB58" s="2">
        <v>23</v>
      </c>
      <c r="AC58" s="2">
        <f>SUM($H$35:H58)</f>
        <v>62.3</v>
      </c>
      <c r="AD58" s="85">
        <f t="shared" si="20"/>
        <v>97.648902821316625</v>
      </c>
      <c r="AE58" s="2">
        <f>SUM($N$35:N58)</f>
        <v>42.65</v>
      </c>
      <c r="AF58" s="2">
        <f t="shared" si="21"/>
        <v>85.214785214785209</v>
      </c>
      <c r="AG58" s="2">
        <f>SUM($T$35:T58)</f>
        <v>71.25</v>
      </c>
      <c r="AH58" s="85">
        <f t="shared" si="22"/>
        <v>94.936708860759495</v>
      </c>
      <c r="AI58" s="2">
        <f>SUM($Z$35:Z58)</f>
        <v>70</v>
      </c>
      <c r="AJ58" s="2">
        <f t="shared" si="23"/>
        <v>84.745762711864415</v>
      </c>
    </row>
    <row r="59" spans="2:36" x14ac:dyDescent="0.25">
      <c r="B59" s="2">
        <v>24</v>
      </c>
      <c r="C59" s="2">
        <v>17</v>
      </c>
      <c r="D59" s="2">
        <v>0</v>
      </c>
      <c r="E59" s="2">
        <v>13</v>
      </c>
      <c r="F59" s="2">
        <v>0</v>
      </c>
      <c r="G59" s="2">
        <f t="shared" si="12"/>
        <v>30</v>
      </c>
      <c r="H59" s="2">
        <f t="shared" si="13"/>
        <v>1.5</v>
      </c>
      <c r="I59" s="2">
        <v>21</v>
      </c>
      <c r="J59" s="2">
        <v>123</v>
      </c>
      <c r="K59" s="2">
        <v>4</v>
      </c>
      <c r="L59" s="2">
        <v>0</v>
      </c>
      <c r="M59" s="2">
        <f t="shared" si="14"/>
        <v>148</v>
      </c>
      <c r="N59" s="2">
        <f t="shared" si="15"/>
        <v>7.4</v>
      </c>
      <c r="O59" s="2">
        <v>34</v>
      </c>
      <c r="P59" s="2">
        <v>0</v>
      </c>
      <c r="Q59" s="2">
        <v>13</v>
      </c>
      <c r="R59" s="2">
        <v>29</v>
      </c>
      <c r="S59" s="2">
        <f t="shared" si="16"/>
        <v>76</v>
      </c>
      <c r="T59" s="2">
        <f t="shared" si="17"/>
        <v>3.8</v>
      </c>
      <c r="U59" s="2">
        <v>14</v>
      </c>
      <c r="V59" s="2">
        <v>24</v>
      </c>
      <c r="W59" s="2">
        <v>182</v>
      </c>
      <c r="X59" s="2">
        <v>32</v>
      </c>
      <c r="Y59" s="2">
        <f t="shared" si="18"/>
        <v>252</v>
      </c>
      <c r="Z59" s="2">
        <f t="shared" si="19"/>
        <v>12.6</v>
      </c>
      <c r="AB59" s="2">
        <v>24</v>
      </c>
      <c r="AC59" s="2">
        <f>SUM($H$35:H59)</f>
        <v>63.8</v>
      </c>
      <c r="AD59" s="2">
        <f t="shared" si="20"/>
        <v>100</v>
      </c>
      <c r="AE59" s="2">
        <f>SUM($N$35:N59)</f>
        <v>50.05</v>
      </c>
      <c r="AF59" s="85">
        <f t="shared" si="21"/>
        <v>100</v>
      </c>
      <c r="AG59" s="2">
        <f>SUM($T$35:T59)</f>
        <v>75.05</v>
      </c>
      <c r="AH59" s="2">
        <f t="shared" si="22"/>
        <v>100</v>
      </c>
      <c r="AI59" s="2">
        <f>SUM($Z$35:Z59)</f>
        <v>82.6</v>
      </c>
      <c r="AJ59" s="85">
        <f t="shared" si="23"/>
        <v>100</v>
      </c>
    </row>
    <row r="60" spans="2:36" x14ac:dyDescent="0.25">
      <c r="B60" s="2"/>
      <c r="C60" s="78" t="s">
        <v>106</v>
      </c>
      <c r="D60" s="79"/>
      <c r="E60" s="79"/>
      <c r="F60" s="80"/>
      <c r="G60" s="2"/>
      <c r="H60" s="2">
        <f>SUM(H35:H59)</f>
        <v>63.8</v>
      </c>
      <c r="I60" s="78" t="s">
        <v>106</v>
      </c>
      <c r="J60" s="79"/>
      <c r="K60" s="79"/>
      <c r="L60" s="80"/>
      <c r="M60" s="2"/>
      <c r="N60" s="2">
        <f>SUM(N35:N59)</f>
        <v>50.05</v>
      </c>
      <c r="O60" s="78" t="s">
        <v>106</v>
      </c>
      <c r="P60" s="79"/>
      <c r="Q60" s="79"/>
      <c r="R60" s="80"/>
      <c r="S60" s="2"/>
      <c r="T60" s="2">
        <f>SUM(T35:T59)</f>
        <v>75.05</v>
      </c>
      <c r="U60" s="78" t="s">
        <v>106</v>
      </c>
      <c r="V60" s="79"/>
      <c r="W60" s="79"/>
      <c r="X60" s="80"/>
      <c r="Y60" s="2"/>
      <c r="Z60" s="2">
        <f>SUM(Z35:Z59)</f>
        <v>82.6</v>
      </c>
      <c r="AB60" s="2"/>
      <c r="AC60" s="2"/>
      <c r="AD60" s="2"/>
      <c r="AE60" s="2"/>
      <c r="AF60" s="2"/>
      <c r="AG60" s="2"/>
      <c r="AH60" s="2"/>
      <c r="AI60" s="2"/>
      <c r="AJ60" s="2"/>
    </row>
  </sheetData>
  <mergeCells count="26">
    <mergeCell ref="AO30:AX32"/>
    <mergeCell ref="D2:Z2"/>
    <mergeCell ref="B2:C2"/>
    <mergeCell ref="AB2:AK3"/>
    <mergeCell ref="O31:R31"/>
    <mergeCell ref="I31:L31"/>
    <mergeCell ref="U31:X31"/>
    <mergeCell ref="C60:F60"/>
    <mergeCell ref="I60:L60"/>
    <mergeCell ref="O60:R60"/>
    <mergeCell ref="U60:X60"/>
    <mergeCell ref="AP34:AS34"/>
    <mergeCell ref="AT34:AX34"/>
    <mergeCell ref="AP35:AS35"/>
    <mergeCell ref="AT35:AX35"/>
    <mergeCell ref="B4:B5"/>
    <mergeCell ref="C4:X4"/>
    <mergeCell ref="AB4:AB5"/>
    <mergeCell ref="AC4:AI4"/>
    <mergeCell ref="AP23:AR23"/>
    <mergeCell ref="B33:B34"/>
    <mergeCell ref="C33:X33"/>
    <mergeCell ref="AB33:AB34"/>
    <mergeCell ref="AC33:AI33"/>
    <mergeCell ref="AO33:AX33"/>
    <mergeCell ref="B31:F3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4F242-1F8E-4791-938E-548B05FEDA18}">
  <dimension ref="B3:AV61"/>
  <sheetViews>
    <sheetView tabSelected="1" workbookViewId="0">
      <selection activeCell="C1" sqref="C1"/>
    </sheetView>
  </sheetViews>
  <sheetFormatPr defaultRowHeight="15" x14ac:dyDescent="0.25"/>
  <cols>
    <col min="37" max="37" width="23.28515625" customWidth="1"/>
    <col min="40" max="40" width="16.140625" customWidth="1"/>
    <col min="41" max="41" width="16.7109375" customWidth="1"/>
  </cols>
  <sheetData>
    <row r="3" spans="2:37" x14ac:dyDescent="0.25">
      <c r="C3" s="90" t="s">
        <v>108</v>
      </c>
      <c r="D3" s="90"/>
      <c r="E3" s="90"/>
      <c r="F3" s="90"/>
      <c r="G3" s="90"/>
      <c r="H3" s="90"/>
      <c r="I3" s="90"/>
      <c r="J3" s="90"/>
      <c r="K3" s="90"/>
      <c r="L3" s="90"/>
      <c r="M3" s="90"/>
      <c r="N3" s="90"/>
      <c r="O3" s="90"/>
      <c r="P3" s="90"/>
      <c r="Q3" s="90"/>
      <c r="R3" s="90"/>
      <c r="AB3" s="58" t="s">
        <v>111</v>
      </c>
      <c r="AC3" s="58"/>
      <c r="AD3" s="58"/>
      <c r="AE3" s="58"/>
      <c r="AF3" s="58"/>
      <c r="AG3" s="58"/>
      <c r="AH3" s="58"/>
      <c r="AI3" s="58"/>
      <c r="AJ3" s="58"/>
      <c r="AK3" s="58"/>
    </row>
    <row r="4" spans="2:37" x14ac:dyDescent="0.25">
      <c r="AB4" s="58"/>
      <c r="AC4" s="58"/>
      <c r="AD4" s="58"/>
      <c r="AE4" s="58"/>
      <c r="AF4" s="58"/>
      <c r="AG4" s="58"/>
      <c r="AH4" s="58"/>
      <c r="AI4" s="58"/>
      <c r="AJ4" s="58"/>
      <c r="AK4" s="58"/>
    </row>
    <row r="5" spans="2:37" ht="33.75" customHeight="1" x14ac:dyDescent="0.25">
      <c r="B5" s="58" t="s">
        <v>60</v>
      </c>
      <c r="C5" s="55" t="s">
        <v>83</v>
      </c>
      <c r="D5" s="55"/>
      <c r="E5" s="55"/>
      <c r="F5" s="55"/>
      <c r="G5" s="55"/>
      <c r="H5" s="55"/>
      <c r="I5" s="55"/>
      <c r="J5" s="55"/>
      <c r="K5" s="55"/>
      <c r="L5" s="55"/>
      <c r="M5" s="55"/>
      <c r="N5" s="55"/>
      <c r="O5" s="55"/>
      <c r="P5" s="55"/>
      <c r="Q5" s="55"/>
      <c r="R5" s="55"/>
      <c r="S5" s="55"/>
      <c r="T5" s="55"/>
      <c r="U5" s="55"/>
      <c r="V5" s="55"/>
      <c r="W5" s="55"/>
      <c r="X5" s="55"/>
      <c r="Y5" s="2"/>
      <c r="Z5" s="2"/>
      <c r="AB5" s="58" t="s">
        <v>60</v>
      </c>
      <c r="AC5" s="55" t="s">
        <v>84</v>
      </c>
      <c r="AD5" s="55"/>
      <c r="AE5" s="55"/>
      <c r="AF5" s="55"/>
      <c r="AG5" s="55"/>
      <c r="AH5" s="55"/>
      <c r="AI5" s="55"/>
      <c r="AJ5" s="2"/>
      <c r="AK5" s="53" t="s">
        <v>70</v>
      </c>
    </row>
    <row r="6" spans="2:37" ht="15" customHeight="1" x14ac:dyDescent="0.25">
      <c r="B6" s="58"/>
      <c r="C6" s="7" t="s">
        <v>9</v>
      </c>
      <c r="D6" s="7" t="s">
        <v>9</v>
      </c>
      <c r="E6" s="7" t="s">
        <v>9</v>
      </c>
      <c r="F6" s="7" t="s">
        <v>9</v>
      </c>
      <c r="G6" s="7" t="s">
        <v>71</v>
      </c>
      <c r="H6" s="7" t="s">
        <v>72</v>
      </c>
      <c r="I6" s="7" t="s">
        <v>10</v>
      </c>
      <c r="J6" s="7" t="s">
        <v>10</v>
      </c>
      <c r="K6" s="7" t="s">
        <v>10</v>
      </c>
      <c r="L6" s="7" t="s">
        <v>10</v>
      </c>
      <c r="M6" s="7" t="s">
        <v>71</v>
      </c>
      <c r="N6" s="7" t="s">
        <v>72</v>
      </c>
      <c r="O6" s="7" t="s">
        <v>11</v>
      </c>
      <c r="P6" s="7" t="s">
        <v>11</v>
      </c>
      <c r="Q6" s="7" t="s">
        <v>11</v>
      </c>
      <c r="R6" s="7" t="s">
        <v>11</v>
      </c>
      <c r="S6" s="7" t="s">
        <v>71</v>
      </c>
      <c r="T6" s="7" t="s">
        <v>72</v>
      </c>
      <c r="U6" s="7" t="s">
        <v>12</v>
      </c>
      <c r="V6" s="7" t="s">
        <v>12</v>
      </c>
      <c r="W6" s="7" t="s">
        <v>12</v>
      </c>
      <c r="X6" s="7" t="s">
        <v>12</v>
      </c>
      <c r="Y6" s="7" t="s">
        <v>71</v>
      </c>
      <c r="Z6" s="7" t="s">
        <v>72</v>
      </c>
      <c r="AA6" s="5"/>
      <c r="AB6" s="58"/>
      <c r="AC6" s="2" t="s">
        <v>9</v>
      </c>
      <c r="AD6" s="7" t="s">
        <v>67</v>
      </c>
      <c r="AE6" s="2" t="s">
        <v>10</v>
      </c>
      <c r="AF6" s="7" t="s">
        <v>63</v>
      </c>
      <c r="AG6" s="2" t="s">
        <v>11</v>
      </c>
      <c r="AH6" s="7" t="s">
        <v>64</v>
      </c>
      <c r="AI6" s="2" t="s">
        <v>12</v>
      </c>
      <c r="AJ6" s="7" t="s">
        <v>68</v>
      </c>
      <c r="AK6" s="41">
        <v>0.25</v>
      </c>
    </row>
    <row r="7" spans="2:37" x14ac:dyDescent="0.25">
      <c r="B7" s="2">
        <v>0</v>
      </c>
      <c r="C7" s="2">
        <v>0</v>
      </c>
      <c r="D7" s="2">
        <v>2</v>
      </c>
      <c r="E7" s="2">
        <v>2</v>
      </c>
      <c r="F7" s="2">
        <v>0</v>
      </c>
      <c r="G7" s="2">
        <f>SUM(C7:F7)</f>
        <v>4</v>
      </c>
      <c r="H7" s="2">
        <f>(G7/20)</f>
        <v>0.2</v>
      </c>
      <c r="I7" s="2">
        <v>0</v>
      </c>
      <c r="J7" s="2">
        <v>0</v>
      </c>
      <c r="K7" s="2">
        <v>0</v>
      </c>
      <c r="L7" s="2">
        <v>0</v>
      </c>
      <c r="M7" s="2">
        <f>SUM(I7:L7)</f>
        <v>0</v>
      </c>
      <c r="N7" s="2">
        <f>(M7/20)</f>
        <v>0</v>
      </c>
      <c r="O7" s="2">
        <v>0</v>
      </c>
      <c r="P7" s="2">
        <v>0</v>
      </c>
      <c r="Q7" s="2">
        <v>0</v>
      </c>
      <c r="R7" s="2">
        <v>0</v>
      </c>
      <c r="S7" s="2">
        <f>SUM(O7:R7)</f>
        <v>0</v>
      </c>
      <c r="T7" s="2">
        <f>(S7/20)</f>
        <v>0</v>
      </c>
      <c r="U7" s="2">
        <v>0</v>
      </c>
      <c r="V7" s="2">
        <v>0</v>
      </c>
      <c r="W7" s="2">
        <v>0</v>
      </c>
      <c r="X7" s="2">
        <v>0</v>
      </c>
      <c r="Y7" s="2">
        <f>SUM(U7:X7)</f>
        <v>0</v>
      </c>
      <c r="Z7" s="2">
        <f>(Y7/20)</f>
        <v>0</v>
      </c>
      <c r="AB7" s="2">
        <v>0</v>
      </c>
      <c r="AC7" s="2">
        <f>SUM($H$7:H7)</f>
        <v>0.2</v>
      </c>
      <c r="AD7" s="2">
        <f>(AC7/69.5)*100</f>
        <v>0.28776978417266186</v>
      </c>
      <c r="AE7" s="2">
        <f>SUM($N$7:N7)</f>
        <v>0</v>
      </c>
      <c r="AF7" s="2">
        <f>(AE7/13.7)*100</f>
        <v>0</v>
      </c>
      <c r="AG7" s="2">
        <f>SUM($T$7:T7)</f>
        <v>0</v>
      </c>
      <c r="AH7" s="2">
        <f>(AG7/149.8)*100</f>
        <v>0</v>
      </c>
      <c r="AI7" s="2">
        <f>SUM($Z$7:Z7)</f>
        <v>0</v>
      </c>
      <c r="AJ7" s="2">
        <f>(AI7/71.35)*100</f>
        <v>0</v>
      </c>
      <c r="AK7" s="42">
        <v>0.5</v>
      </c>
    </row>
    <row r="8" spans="2:37" x14ac:dyDescent="0.25">
      <c r="B8" s="2">
        <v>1</v>
      </c>
      <c r="C8" s="2">
        <v>3</v>
      </c>
      <c r="D8" s="2">
        <v>0</v>
      </c>
      <c r="E8" s="2">
        <v>4</v>
      </c>
      <c r="F8" s="2">
        <v>0</v>
      </c>
      <c r="G8" s="2">
        <f t="shared" ref="G8:G31" si="0">SUM(C8:F8)</f>
        <v>7</v>
      </c>
      <c r="H8" s="2">
        <f t="shared" ref="H8:H31" si="1">(G8/20)</f>
        <v>0.35</v>
      </c>
      <c r="I8" s="2">
        <v>0</v>
      </c>
      <c r="J8" s="2">
        <v>2</v>
      </c>
      <c r="K8" s="2">
        <v>5</v>
      </c>
      <c r="L8" s="2">
        <v>5</v>
      </c>
      <c r="M8" s="2">
        <f t="shared" ref="M8:M31" si="2">SUM(I8:L8)</f>
        <v>12</v>
      </c>
      <c r="N8" s="2">
        <f t="shared" ref="N8:N31" si="3">(M8/20)</f>
        <v>0.6</v>
      </c>
      <c r="O8" s="2">
        <v>1</v>
      </c>
      <c r="P8" s="2">
        <v>0</v>
      </c>
      <c r="Q8" s="2">
        <v>0</v>
      </c>
      <c r="R8" s="2">
        <v>0</v>
      </c>
      <c r="S8" s="2">
        <f t="shared" ref="S8:S31" si="4">SUM(O8:R8)</f>
        <v>1</v>
      </c>
      <c r="T8" s="2">
        <f t="shared" ref="T8:T31" si="5">(S8/20)</f>
        <v>0.05</v>
      </c>
      <c r="U8" s="2">
        <v>0</v>
      </c>
      <c r="V8" s="2">
        <v>2</v>
      </c>
      <c r="W8" s="2">
        <v>14</v>
      </c>
      <c r="X8" s="2">
        <v>0</v>
      </c>
      <c r="Y8" s="2">
        <f t="shared" ref="Y8:Y31" si="6">SUM(U8:X8)</f>
        <v>16</v>
      </c>
      <c r="Z8" s="2">
        <f t="shared" ref="Z8:Z31" si="7">(Y8/20)</f>
        <v>0.8</v>
      </c>
      <c r="AB8" s="2">
        <v>1</v>
      </c>
      <c r="AC8" s="2">
        <f>SUM($H$7:H8)</f>
        <v>0.55000000000000004</v>
      </c>
      <c r="AD8" s="2">
        <f t="shared" ref="AD8:AD31" si="8">(AC8/69.5)*100</f>
        <v>0.79136690647482011</v>
      </c>
      <c r="AE8" s="2">
        <f>SUM($N$7:N8)</f>
        <v>0.6</v>
      </c>
      <c r="AF8" s="2">
        <f t="shared" ref="AF8:AF31" si="9">(AE8/13.7)*100</f>
        <v>4.3795620437956204</v>
      </c>
      <c r="AG8" s="2">
        <f>SUM($T$7:T8)</f>
        <v>0.05</v>
      </c>
      <c r="AH8" s="2">
        <f t="shared" ref="AH8:AH31" si="10">(AG8/149.8)*100</f>
        <v>3.3377837116154871E-2</v>
      </c>
      <c r="AI8" s="2">
        <f>SUM($Z$7:Z8)</f>
        <v>0.8</v>
      </c>
      <c r="AJ8" s="2">
        <f t="shared" ref="AJ8:AJ31" si="11">(AI8/71.35)*100</f>
        <v>1.1212333566923618</v>
      </c>
      <c r="AK8" s="43">
        <v>0.75</v>
      </c>
    </row>
    <row r="9" spans="2:37" x14ac:dyDescent="0.25">
      <c r="B9" s="2">
        <v>2</v>
      </c>
      <c r="C9" s="2">
        <v>5</v>
      </c>
      <c r="D9" s="2">
        <v>43</v>
      </c>
      <c r="E9" s="2">
        <v>13</v>
      </c>
      <c r="F9" s="2">
        <v>1</v>
      </c>
      <c r="G9" s="2">
        <f t="shared" si="0"/>
        <v>62</v>
      </c>
      <c r="H9" s="2">
        <f t="shared" si="1"/>
        <v>3.1</v>
      </c>
      <c r="I9" s="2">
        <v>18</v>
      </c>
      <c r="J9" s="2">
        <v>3</v>
      </c>
      <c r="K9" s="2">
        <v>5</v>
      </c>
      <c r="L9" s="2">
        <v>16</v>
      </c>
      <c r="M9" s="2">
        <f t="shared" si="2"/>
        <v>42</v>
      </c>
      <c r="N9" s="2">
        <f t="shared" si="3"/>
        <v>2.1</v>
      </c>
      <c r="O9" s="2">
        <v>11</v>
      </c>
      <c r="P9" s="2">
        <v>4</v>
      </c>
      <c r="Q9" s="2">
        <v>0</v>
      </c>
      <c r="R9" s="2">
        <v>0</v>
      </c>
      <c r="S9" s="2">
        <f t="shared" si="4"/>
        <v>15</v>
      </c>
      <c r="T9" s="2">
        <f t="shared" si="5"/>
        <v>0.75</v>
      </c>
      <c r="U9" s="2">
        <v>0</v>
      </c>
      <c r="V9" s="2">
        <v>15</v>
      </c>
      <c r="W9" s="2">
        <v>20</v>
      </c>
      <c r="X9" s="2">
        <v>1</v>
      </c>
      <c r="Y9" s="2">
        <f t="shared" si="6"/>
        <v>36</v>
      </c>
      <c r="Z9" s="2">
        <f t="shared" si="7"/>
        <v>1.8</v>
      </c>
      <c r="AB9" s="2">
        <v>2</v>
      </c>
      <c r="AC9" s="2">
        <f>SUM($H$7:H9)</f>
        <v>3.6500000000000004</v>
      </c>
      <c r="AD9" s="2">
        <f t="shared" si="8"/>
        <v>5.2517985611510793</v>
      </c>
      <c r="AE9" s="2">
        <f>SUM($N$7:N9)</f>
        <v>2.7</v>
      </c>
      <c r="AF9" s="2">
        <f t="shared" si="9"/>
        <v>19.708029197080297</v>
      </c>
      <c r="AG9" s="2">
        <f>SUM($T$7:T9)</f>
        <v>0.8</v>
      </c>
      <c r="AH9" s="2">
        <f t="shared" si="10"/>
        <v>0.53404539385847793</v>
      </c>
      <c r="AI9" s="2">
        <f>SUM($Z$7:Z9)</f>
        <v>2.6</v>
      </c>
      <c r="AJ9" s="2">
        <f t="shared" si="11"/>
        <v>3.6440084092501754</v>
      </c>
      <c r="AK9" s="44">
        <v>0.95</v>
      </c>
    </row>
    <row r="10" spans="2:37" x14ac:dyDescent="0.25">
      <c r="B10" s="2">
        <v>3</v>
      </c>
      <c r="C10" s="2">
        <v>14</v>
      </c>
      <c r="D10" s="2">
        <v>0</v>
      </c>
      <c r="E10" s="2">
        <v>6</v>
      </c>
      <c r="F10" s="2">
        <v>34</v>
      </c>
      <c r="G10" s="2">
        <f t="shared" si="0"/>
        <v>54</v>
      </c>
      <c r="H10" s="2">
        <f t="shared" si="1"/>
        <v>2.7</v>
      </c>
      <c r="I10" s="2">
        <v>7</v>
      </c>
      <c r="J10" s="2">
        <v>14</v>
      </c>
      <c r="K10" s="2">
        <v>3</v>
      </c>
      <c r="L10" s="2">
        <v>0</v>
      </c>
      <c r="M10" s="2">
        <f t="shared" si="2"/>
        <v>24</v>
      </c>
      <c r="N10" s="2">
        <f t="shared" si="3"/>
        <v>1.2</v>
      </c>
      <c r="O10" s="2">
        <v>0</v>
      </c>
      <c r="P10" s="2">
        <v>8</v>
      </c>
      <c r="Q10" s="2">
        <v>0</v>
      </c>
      <c r="R10" s="2">
        <v>57</v>
      </c>
      <c r="S10" s="2">
        <f t="shared" si="4"/>
        <v>65</v>
      </c>
      <c r="T10" s="2">
        <f t="shared" si="5"/>
        <v>3.25</v>
      </c>
      <c r="U10" s="2">
        <v>0</v>
      </c>
      <c r="V10" s="2">
        <v>37</v>
      </c>
      <c r="W10" s="2">
        <v>5</v>
      </c>
      <c r="X10" s="2">
        <v>0</v>
      </c>
      <c r="Y10" s="2">
        <f t="shared" si="6"/>
        <v>42</v>
      </c>
      <c r="Z10" s="2">
        <f t="shared" si="7"/>
        <v>2.1</v>
      </c>
      <c r="AB10" s="2">
        <v>3</v>
      </c>
      <c r="AC10" s="2">
        <f>SUM($H$7:H10)</f>
        <v>6.3500000000000005</v>
      </c>
      <c r="AD10" s="2">
        <f t="shared" si="8"/>
        <v>9.1366906474820162</v>
      </c>
      <c r="AE10" s="2">
        <f>SUM($N$7:N10)</f>
        <v>3.9000000000000004</v>
      </c>
      <c r="AF10" s="82">
        <f t="shared" si="9"/>
        <v>28.467153284671536</v>
      </c>
      <c r="AG10" s="2">
        <f>SUM($T$7:T10)</f>
        <v>4.05</v>
      </c>
      <c r="AH10" s="2">
        <f t="shared" si="10"/>
        <v>2.7036048064085447</v>
      </c>
      <c r="AI10" s="2">
        <f>SUM($Z$7:Z10)</f>
        <v>4.7</v>
      </c>
      <c r="AJ10" s="2">
        <f t="shared" si="11"/>
        <v>6.5872459705676247</v>
      </c>
    </row>
    <row r="11" spans="2:37" x14ac:dyDescent="0.25">
      <c r="B11" s="2">
        <v>4</v>
      </c>
      <c r="C11" s="2">
        <v>6</v>
      </c>
      <c r="D11" s="2">
        <v>7</v>
      </c>
      <c r="E11" s="2">
        <v>18</v>
      </c>
      <c r="F11" s="2">
        <v>103</v>
      </c>
      <c r="G11" s="2">
        <f t="shared" si="0"/>
        <v>134</v>
      </c>
      <c r="H11" s="2">
        <f t="shared" si="1"/>
        <v>6.7</v>
      </c>
      <c r="I11" s="2">
        <v>14</v>
      </c>
      <c r="J11" s="2">
        <v>1</v>
      </c>
      <c r="K11" s="2">
        <v>0</v>
      </c>
      <c r="L11" s="2">
        <v>0</v>
      </c>
      <c r="M11" s="2">
        <f t="shared" si="2"/>
        <v>15</v>
      </c>
      <c r="N11" s="2">
        <f t="shared" si="3"/>
        <v>0.75</v>
      </c>
      <c r="O11" s="2">
        <v>7</v>
      </c>
      <c r="P11" s="2">
        <v>4</v>
      </c>
      <c r="Q11" s="2">
        <v>19</v>
      </c>
      <c r="R11" s="2">
        <v>0</v>
      </c>
      <c r="S11" s="2">
        <f t="shared" si="4"/>
        <v>30</v>
      </c>
      <c r="T11" s="2">
        <f t="shared" si="5"/>
        <v>1.5</v>
      </c>
      <c r="U11" s="2">
        <v>1</v>
      </c>
      <c r="V11" s="2">
        <v>0</v>
      </c>
      <c r="W11" s="2">
        <v>36</v>
      </c>
      <c r="X11" s="2">
        <v>60</v>
      </c>
      <c r="Y11" s="2">
        <f t="shared" si="6"/>
        <v>97</v>
      </c>
      <c r="Z11" s="2">
        <f t="shared" si="7"/>
        <v>4.8499999999999996</v>
      </c>
      <c r="AB11" s="2">
        <v>4</v>
      </c>
      <c r="AC11" s="2">
        <f>SUM($H$7:H11)</f>
        <v>13.05</v>
      </c>
      <c r="AD11" s="2">
        <f t="shared" si="8"/>
        <v>18.776978417266189</v>
      </c>
      <c r="AE11" s="2">
        <f>SUM($N$7:N11)</f>
        <v>4.6500000000000004</v>
      </c>
      <c r="AF11" s="2">
        <f t="shared" si="9"/>
        <v>33.941605839416063</v>
      </c>
      <c r="AG11" s="2">
        <f>SUM($T$7:T11)</f>
        <v>5.55</v>
      </c>
      <c r="AH11" s="2">
        <f t="shared" si="10"/>
        <v>3.70493991989319</v>
      </c>
      <c r="AI11" s="2">
        <f>SUM($Z$7:Z11)</f>
        <v>9.5500000000000007</v>
      </c>
      <c r="AJ11" s="2">
        <f t="shared" si="11"/>
        <v>13.384723195515068</v>
      </c>
    </row>
    <row r="12" spans="2:37" x14ac:dyDescent="0.25">
      <c r="B12" s="2">
        <v>5</v>
      </c>
      <c r="C12" s="2">
        <v>2</v>
      </c>
      <c r="D12" s="2">
        <v>23</v>
      </c>
      <c r="E12" s="2">
        <v>0</v>
      </c>
      <c r="F12" s="2">
        <v>11</v>
      </c>
      <c r="G12" s="2">
        <f t="shared" si="0"/>
        <v>36</v>
      </c>
      <c r="H12" s="2">
        <f t="shared" si="1"/>
        <v>1.8</v>
      </c>
      <c r="I12" s="2">
        <v>0</v>
      </c>
      <c r="J12" s="2">
        <v>0</v>
      </c>
      <c r="K12" s="2">
        <v>0</v>
      </c>
      <c r="L12" s="2">
        <v>0</v>
      </c>
      <c r="M12" s="2">
        <f t="shared" si="2"/>
        <v>0</v>
      </c>
      <c r="N12" s="2">
        <f t="shared" si="3"/>
        <v>0</v>
      </c>
      <c r="O12" s="2">
        <v>0</v>
      </c>
      <c r="P12" s="2">
        <v>11</v>
      </c>
      <c r="Q12" s="2">
        <v>11</v>
      </c>
      <c r="R12" s="2">
        <v>0</v>
      </c>
      <c r="S12" s="2">
        <f t="shared" si="4"/>
        <v>22</v>
      </c>
      <c r="T12" s="2">
        <f t="shared" si="5"/>
        <v>1.1000000000000001</v>
      </c>
      <c r="U12" s="2">
        <v>4</v>
      </c>
      <c r="V12" s="2">
        <v>0</v>
      </c>
      <c r="W12" s="2">
        <v>16</v>
      </c>
      <c r="X12" s="2">
        <v>22</v>
      </c>
      <c r="Y12" s="2">
        <f t="shared" si="6"/>
        <v>42</v>
      </c>
      <c r="Z12" s="2">
        <f t="shared" si="7"/>
        <v>2.1</v>
      </c>
      <c r="AB12" s="2">
        <v>5</v>
      </c>
      <c r="AC12" s="2">
        <f>SUM($H$7:H12)</f>
        <v>14.850000000000001</v>
      </c>
      <c r="AD12" s="2">
        <f t="shared" si="8"/>
        <v>21.366906474820148</v>
      </c>
      <c r="AE12" s="2">
        <f>SUM($N$7:N12)</f>
        <v>4.6500000000000004</v>
      </c>
      <c r="AF12" s="2">
        <f t="shared" si="9"/>
        <v>33.941605839416063</v>
      </c>
      <c r="AG12" s="2">
        <f>SUM($T$7:T12)</f>
        <v>6.65</v>
      </c>
      <c r="AH12" s="2">
        <f t="shared" si="10"/>
        <v>4.4392523364485976</v>
      </c>
      <c r="AI12" s="2">
        <f>SUM($Z$7:Z12)</f>
        <v>11.65</v>
      </c>
      <c r="AJ12" s="2">
        <f t="shared" si="11"/>
        <v>16.327960756832518</v>
      </c>
    </row>
    <row r="13" spans="2:37" x14ac:dyDescent="0.25">
      <c r="B13" s="2">
        <v>6</v>
      </c>
      <c r="C13" s="2">
        <v>0</v>
      </c>
      <c r="D13" s="2">
        <v>3</v>
      </c>
      <c r="E13" s="2">
        <v>0</v>
      </c>
      <c r="F13" s="2">
        <v>20</v>
      </c>
      <c r="G13" s="2">
        <f t="shared" si="0"/>
        <v>23</v>
      </c>
      <c r="H13" s="2">
        <f t="shared" si="1"/>
        <v>1.1499999999999999</v>
      </c>
      <c r="I13" s="2">
        <v>0</v>
      </c>
      <c r="J13" s="2">
        <v>0</v>
      </c>
      <c r="K13" s="2">
        <v>0</v>
      </c>
      <c r="L13" s="2">
        <v>0</v>
      </c>
      <c r="M13" s="2">
        <f t="shared" si="2"/>
        <v>0</v>
      </c>
      <c r="N13" s="2">
        <f t="shared" si="3"/>
        <v>0</v>
      </c>
      <c r="O13" s="2">
        <v>0</v>
      </c>
      <c r="P13" s="2">
        <v>10</v>
      </c>
      <c r="Q13" s="2">
        <v>0</v>
      </c>
      <c r="R13" s="2">
        <v>73</v>
      </c>
      <c r="S13" s="2">
        <f t="shared" si="4"/>
        <v>83</v>
      </c>
      <c r="T13" s="2">
        <f t="shared" si="5"/>
        <v>4.1500000000000004</v>
      </c>
      <c r="U13" s="2">
        <v>29</v>
      </c>
      <c r="V13" s="2">
        <v>36</v>
      </c>
      <c r="W13" s="2">
        <v>0</v>
      </c>
      <c r="X13" s="2">
        <v>44</v>
      </c>
      <c r="Y13" s="2">
        <f t="shared" si="6"/>
        <v>109</v>
      </c>
      <c r="Z13" s="2">
        <f t="shared" si="7"/>
        <v>5.45</v>
      </c>
      <c r="AB13" s="2">
        <v>6</v>
      </c>
      <c r="AC13" s="2">
        <f>SUM($H$7:H13)</f>
        <v>16</v>
      </c>
      <c r="AD13" s="2">
        <f t="shared" si="8"/>
        <v>23.021582733812952</v>
      </c>
      <c r="AE13" s="2">
        <f>SUM($N$7:N13)</f>
        <v>4.6500000000000004</v>
      </c>
      <c r="AF13" s="2">
        <f t="shared" si="9"/>
        <v>33.941605839416063</v>
      </c>
      <c r="AG13" s="2">
        <f>SUM($T$7:T13)</f>
        <v>10.8</v>
      </c>
      <c r="AH13" s="2">
        <f t="shared" si="10"/>
        <v>7.2096128170894529</v>
      </c>
      <c r="AI13" s="2">
        <f>SUM($Z$7:Z13)</f>
        <v>17.100000000000001</v>
      </c>
      <c r="AJ13" s="2">
        <f t="shared" si="11"/>
        <v>23.966362999299236</v>
      </c>
    </row>
    <row r="14" spans="2:37" x14ac:dyDescent="0.25">
      <c r="B14" s="2">
        <v>7</v>
      </c>
      <c r="C14" s="2">
        <v>3</v>
      </c>
      <c r="D14" s="2">
        <v>0</v>
      </c>
      <c r="E14" s="2">
        <v>25</v>
      </c>
      <c r="F14" s="2">
        <v>18</v>
      </c>
      <c r="G14" s="2">
        <f t="shared" si="0"/>
        <v>46</v>
      </c>
      <c r="H14" s="2">
        <f t="shared" si="1"/>
        <v>2.2999999999999998</v>
      </c>
      <c r="I14" s="2">
        <v>0</v>
      </c>
      <c r="J14" s="2">
        <v>0</v>
      </c>
      <c r="K14" s="2">
        <v>0</v>
      </c>
      <c r="L14" s="2">
        <v>0</v>
      </c>
      <c r="M14" s="2">
        <f t="shared" si="2"/>
        <v>0</v>
      </c>
      <c r="N14" s="2">
        <f t="shared" si="3"/>
        <v>0</v>
      </c>
      <c r="O14" s="2">
        <v>0</v>
      </c>
      <c r="P14" s="2">
        <v>0</v>
      </c>
      <c r="Q14" s="2">
        <v>19</v>
      </c>
      <c r="R14" s="2">
        <v>6</v>
      </c>
      <c r="S14" s="2">
        <f t="shared" si="4"/>
        <v>25</v>
      </c>
      <c r="T14" s="2">
        <f t="shared" si="5"/>
        <v>1.25</v>
      </c>
      <c r="U14" s="2">
        <v>1</v>
      </c>
      <c r="V14" s="2">
        <v>0</v>
      </c>
      <c r="W14" s="2">
        <v>28</v>
      </c>
      <c r="X14" s="2">
        <v>9</v>
      </c>
      <c r="Y14" s="2">
        <f t="shared" si="6"/>
        <v>38</v>
      </c>
      <c r="Z14" s="2">
        <f t="shared" si="7"/>
        <v>1.9</v>
      </c>
      <c r="AB14" s="2">
        <v>7</v>
      </c>
      <c r="AC14" s="2">
        <f>SUM($H$7:H14)</f>
        <v>18.3</v>
      </c>
      <c r="AD14" s="82">
        <f t="shared" si="8"/>
        <v>26.330935251798561</v>
      </c>
      <c r="AE14" s="2">
        <f>SUM($N$7:N14)</f>
        <v>4.6500000000000004</v>
      </c>
      <c r="AF14" s="2">
        <f t="shared" si="9"/>
        <v>33.941605839416063</v>
      </c>
      <c r="AG14" s="2">
        <f>SUM($T$7:T14)</f>
        <v>12.05</v>
      </c>
      <c r="AH14" s="2">
        <f t="shared" si="10"/>
        <v>8.0440587449933236</v>
      </c>
      <c r="AI14" s="2">
        <f>SUM($Z$7:Z14)</f>
        <v>19</v>
      </c>
      <c r="AJ14" s="82">
        <f t="shared" si="11"/>
        <v>26.629292221443592</v>
      </c>
    </row>
    <row r="15" spans="2:37" x14ac:dyDescent="0.25">
      <c r="B15" s="2">
        <v>8</v>
      </c>
      <c r="C15" s="2">
        <v>31</v>
      </c>
      <c r="D15" s="2">
        <v>4</v>
      </c>
      <c r="E15" s="2">
        <v>35</v>
      </c>
      <c r="F15" s="2">
        <v>89</v>
      </c>
      <c r="G15" s="2">
        <f t="shared" si="0"/>
        <v>159</v>
      </c>
      <c r="H15" s="2">
        <f t="shared" si="1"/>
        <v>7.95</v>
      </c>
      <c r="I15" s="2">
        <v>0</v>
      </c>
      <c r="J15" s="2">
        <v>0</v>
      </c>
      <c r="K15" s="2">
        <v>0</v>
      </c>
      <c r="L15" s="2">
        <v>0</v>
      </c>
      <c r="M15" s="2">
        <f t="shared" si="2"/>
        <v>0</v>
      </c>
      <c r="N15" s="2">
        <f t="shared" si="3"/>
        <v>0</v>
      </c>
      <c r="O15" s="2">
        <v>39</v>
      </c>
      <c r="P15" s="2">
        <v>0</v>
      </c>
      <c r="Q15" s="2">
        <v>4</v>
      </c>
      <c r="R15" s="2">
        <v>40</v>
      </c>
      <c r="S15" s="2">
        <f t="shared" si="4"/>
        <v>83</v>
      </c>
      <c r="T15" s="2">
        <f t="shared" si="5"/>
        <v>4.1500000000000004</v>
      </c>
      <c r="U15" s="2">
        <v>24</v>
      </c>
      <c r="V15" s="2">
        <v>55</v>
      </c>
      <c r="W15" s="2">
        <v>33</v>
      </c>
      <c r="X15" s="2">
        <v>0</v>
      </c>
      <c r="Y15" s="2">
        <f t="shared" si="6"/>
        <v>112</v>
      </c>
      <c r="Z15" s="2">
        <f t="shared" si="7"/>
        <v>5.6</v>
      </c>
      <c r="AB15" s="2">
        <v>8</v>
      </c>
      <c r="AC15" s="2">
        <f>SUM($H$7:H15)</f>
        <v>26.25</v>
      </c>
      <c r="AD15" s="2">
        <f t="shared" si="8"/>
        <v>37.769784172661872</v>
      </c>
      <c r="AE15" s="2">
        <f>SUM($N$7:N15)</f>
        <v>4.6500000000000004</v>
      </c>
      <c r="AF15" s="2">
        <f t="shared" si="9"/>
        <v>33.941605839416063</v>
      </c>
      <c r="AG15" s="2">
        <f>SUM($T$7:T15)</f>
        <v>16.200000000000003</v>
      </c>
      <c r="AH15" s="2">
        <f t="shared" si="10"/>
        <v>10.814419225634179</v>
      </c>
      <c r="AI15" s="2">
        <f>SUM($Z$7:Z15)</f>
        <v>24.6</v>
      </c>
      <c r="AJ15" s="2">
        <f t="shared" si="11"/>
        <v>34.477925718290123</v>
      </c>
    </row>
    <row r="16" spans="2:37" x14ac:dyDescent="0.25">
      <c r="B16" s="2">
        <v>9</v>
      </c>
      <c r="C16" s="2">
        <v>0</v>
      </c>
      <c r="D16" s="2">
        <v>22</v>
      </c>
      <c r="E16" s="2">
        <v>1</v>
      </c>
      <c r="F16" s="2">
        <v>0</v>
      </c>
      <c r="G16" s="2">
        <f t="shared" si="0"/>
        <v>23</v>
      </c>
      <c r="H16" s="2">
        <f t="shared" si="1"/>
        <v>1.1499999999999999</v>
      </c>
      <c r="I16" s="2">
        <v>7</v>
      </c>
      <c r="J16" s="2">
        <v>0</v>
      </c>
      <c r="K16" s="2">
        <v>7</v>
      </c>
      <c r="L16" s="2">
        <v>0</v>
      </c>
      <c r="M16" s="2">
        <f t="shared" si="2"/>
        <v>14</v>
      </c>
      <c r="N16" s="2">
        <f t="shared" si="3"/>
        <v>0.7</v>
      </c>
      <c r="O16" s="2">
        <v>0</v>
      </c>
      <c r="P16" s="2">
        <v>42</v>
      </c>
      <c r="Q16" s="2">
        <v>8</v>
      </c>
      <c r="R16" s="2">
        <v>6</v>
      </c>
      <c r="S16" s="2">
        <f t="shared" si="4"/>
        <v>56</v>
      </c>
      <c r="T16" s="2">
        <f t="shared" si="5"/>
        <v>2.8</v>
      </c>
      <c r="U16" s="2">
        <v>7</v>
      </c>
      <c r="V16" s="2">
        <v>0</v>
      </c>
      <c r="W16" s="2">
        <v>0</v>
      </c>
      <c r="X16" s="2">
        <v>99</v>
      </c>
      <c r="Y16" s="2">
        <f t="shared" si="6"/>
        <v>106</v>
      </c>
      <c r="Z16" s="2">
        <f t="shared" si="7"/>
        <v>5.3</v>
      </c>
      <c r="AB16" s="2">
        <v>9</v>
      </c>
      <c r="AC16" s="2">
        <f>SUM($H$7:H16)</f>
        <v>27.4</v>
      </c>
      <c r="AD16" s="2">
        <f t="shared" si="8"/>
        <v>39.424460431654673</v>
      </c>
      <c r="AE16" s="2">
        <f>SUM($N$7:N16)</f>
        <v>5.3500000000000005</v>
      </c>
      <c r="AF16" s="2">
        <f t="shared" si="9"/>
        <v>39.05109489051096</v>
      </c>
      <c r="AG16" s="2">
        <f>SUM($T$7:T16)</f>
        <v>19.000000000000004</v>
      </c>
      <c r="AH16" s="2">
        <f t="shared" si="10"/>
        <v>12.683578104138855</v>
      </c>
      <c r="AI16" s="2">
        <f>SUM($Z$7:Z16)</f>
        <v>29.900000000000002</v>
      </c>
      <c r="AJ16" s="2">
        <f t="shared" si="11"/>
        <v>41.906096706377021</v>
      </c>
    </row>
    <row r="17" spans="2:48" x14ac:dyDescent="0.25">
      <c r="B17" s="2">
        <v>10</v>
      </c>
      <c r="C17" s="2">
        <v>17</v>
      </c>
      <c r="D17" s="2">
        <v>0</v>
      </c>
      <c r="E17" s="2">
        <v>11</v>
      </c>
      <c r="F17" s="2">
        <v>6</v>
      </c>
      <c r="G17" s="2">
        <f t="shared" si="0"/>
        <v>34</v>
      </c>
      <c r="H17" s="2">
        <f t="shared" si="1"/>
        <v>1.7</v>
      </c>
      <c r="I17" s="2">
        <v>0</v>
      </c>
      <c r="J17" s="2">
        <v>0</v>
      </c>
      <c r="K17" s="2">
        <v>0</v>
      </c>
      <c r="L17" s="2">
        <v>0</v>
      </c>
      <c r="M17" s="2">
        <f t="shared" si="2"/>
        <v>0</v>
      </c>
      <c r="N17" s="2">
        <f t="shared" si="3"/>
        <v>0</v>
      </c>
      <c r="O17" s="2">
        <v>64</v>
      </c>
      <c r="P17" s="2">
        <v>14</v>
      </c>
      <c r="Q17" s="2">
        <v>0</v>
      </c>
      <c r="R17" s="2">
        <v>0</v>
      </c>
      <c r="S17" s="2">
        <f t="shared" si="4"/>
        <v>78</v>
      </c>
      <c r="T17" s="2">
        <f t="shared" si="5"/>
        <v>3.9</v>
      </c>
      <c r="U17" s="2">
        <v>25</v>
      </c>
      <c r="V17" s="2">
        <v>0</v>
      </c>
      <c r="W17" s="2">
        <v>13</v>
      </c>
      <c r="X17" s="2">
        <v>0</v>
      </c>
      <c r="Y17" s="2">
        <f t="shared" si="6"/>
        <v>38</v>
      </c>
      <c r="Z17" s="2">
        <f t="shared" si="7"/>
        <v>1.9</v>
      </c>
      <c r="AB17" s="2">
        <v>10</v>
      </c>
      <c r="AC17" s="2">
        <f>SUM($H$7:H17)</f>
        <v>29.099999999999998</v>
      </c>
      <c r="AD17" s="2">
        <f t="shared" si="8"/>
        <v>41.870503597122301</v>
      </c>
      <c r="AE17" s="2">
        <f>SUM($N$7:N17)</f>
        <v>5.3500000000000005</v>
      </c>
      <c r="AF17" s="2">
        <f t="shared" si="9"/>
        <v>39.05109489051096</v>
      </c>
      <c r="AG17" s="2">
        <f>SUM($T$7:T17)</f>
        <v>22.900000000000002</v>
      </c>
      <c r="AH17" s="2">
        <f t="shared" si="10"/>
        <v>15.287049399198931</v>
      </c>
      <c r="AI17" s="2">
        <f>SUM($Z$7:Z17)</f>
        <v>31.8</v>
      </c>
      <c r="AJ17" s="2">
        <f t="shared" si="11"/>
        <v>44.569025928521377</v>
      </c>
      <c r="AM17" s="58" t="s">
        <v>73</v>
      </c>
      <c r="AN17" s="58"/>
      <c r="AO17" s="58"/>
    </row>
    <row r="18" spans="2:48" x14ac:dyDescent="0.25">
      <c r="B18" s="2">
        <v>11</v>
      </c>
      <c r="C18" s="2">
        <v>0</v>
      </c>
      <c r="D18" s="2">
        <v>26</v>
      </c>
      <c r="E18" s="2">
        <v>2</v>
      </c>
      <c r="F18" s="2">
        <v>58</v>
      </c>
      <c r="G18" s="2">
        <f t="shared" si="0"/>
        <v>86</v>
      </c>
      <c r="H18" s="2">
        <f t="shared" si="1"/>
        <v>4.3</v>
      </c>
      <c r="I18" s="2">
        <v>0</v>
      </c>
      <c r="J18" s="2">
        <v>0</v>
      </c>
      <c r="K18" s="2">
        <v>0</v>
      </c>
      <c r="L18" s="2">
        <v>10</v>
      </c>
      <c r="M18" s="2">
        <f t="shared" si="2"/>
        <v>10</v>
      </c>
      <c r="N18" s="2">
        <f t="shared" si="3"/>
        <v>0.5</v>
      </c>
      <c r="O18" s="2">
        <v>10</v>
      </c>
      <c r="P18" s="2">
        <v>9</v>
      </c>
      <c r="Q18" s="2">
        <v>0</v>
      </c>
      <c r="R18" s="2">
        <v>119</v>
      </c>
      <c r="S18" s="2">
        <f t="shared" si="4"/>
        <v>138</v>
      </c>
      <c r="T18" s="2">
        <f t="shared" si="5"/>
        <v>6.9</v>
      </c>
      <c r="U18" s="2">
        <v>28</v>
      </c>
      <c r="V18" s="2">
        <v>0</v>
      </c>
      <c r="W18" s="2">
        <v>0</v>
      </c>
      <c r="X18" s="2">
        <v>113</v>
      </c>
      <c r="Y18" s="2">
        <f t="shared" si="6"/>
        <v>141</v>
      </c>
      <c r="Z18" s="2">
        <f t="shared" si="7"/>
        <v>7.05</v>
      </c>
      <c r="AB18" s="2">
        <v>11</v>
      </c>
      <c r="AC18" s="2">
        <f>SUM($H$7:H18)</f>
        <v>33.4</v>
      </c>
      <c r="AD18" s="2">
        <f t="shared" si="8"/>
        <v>48.057553956834532</v>
      </c>
      <c r="AE18" s="2">
        <f>SUM($N$7:N18)</f>
        <v>5.8500000000000005</v>
      </c>
      <c r="AF18" s="2">
        <f t="shared" si="9"/>
        <v>42.700729927007302</v>
      </c>
      <c r="AG18" s="2">
        <f>SUM($T$7:T18)</f>
        <v>29.800000000000004</v>
      </c>
      <c r="AH18" s="2">
        <f t="shared" si="10"/>
        <v>19.893190921228307</v>
      </c>
      <c r="AI18" s="2">
        <f>SUM($Z$7:Z18)</f>
        <v>38.85</v>
      </c>
      <c r="AJ18" s="83">
        <f t="shared" si="11"/>
        <v>54.449894884372817</v>
      </c>
      <c r="AM18" s="2"/>
      <c r="AN18" s="2" t="s">
        <v>85</v>
      </c>
      <c r="AO18" s="2" t="s">
        <v>86</v>
      </c>
    </row>
    <row r="19" spans="2:48" x14ac:dyDescent="0.25">
      <c r="B19" s="2">
        <v>12</v>
      </c>
      <c r="C19" s="2">
        <v>0</v>
      </c>
      <c r="D19" s="2">
        <v>0</v>
      </c>
      <c r="E19" s="2">
        <v>0</v>
      </c>
      <c r="F19" s="2">
        <v>2</v>
      </c>
      <c r="G19" s="2">
        <f t="shared" si="0"/>
        <v>2</v>
      </c>
      <c r="H19" s="2">
        <f t="shared" si="1"/>
        <v>0.1</v>
      </c>
      <c r="I19" s="2">
        <v>9</v>
      </c>
      <c r="J19" s="2">
        <v>0</v>
      </c>
      <c r="K19" s="2">
        <v>0</v>
      </c>
      <c r="L19" s="2">
        <v>0</v>
      </c>
      <c r="M19" s="2">
        <f t="shared" si="2"/>
        <v>9</v>
      </c>
      <c r="N19" s="2">
        <f t="shared" si="3"/>
        <v>0.45</v>
      </c>
      <c r="O19" s="2">
        <v>25</v>
      </c>
      <c r="P19" s="2">
        <v>51</v>
      </c>
      <c r="Q19" s="2">
        <v>0</v>
      </c>
      <c r="R19" s="2">
        <v>2</v>
      </c>
      <c r="S19" s="2">
        <f t="shared" si="4"/>
        <v>78</v>
      </c>
      <c r="T19" s="2">
        <f t="shared" si="5"/>
        <v>3.9</v>
      </c>
      <c r="U19" s="2">
        <v>11</v>
      </c>
      <c r="V19" s="2">
        <v>0</v>
      </c>
      <c r="W19" s="2">
        <v>41</v>
      </c>
      <c r="X19" s="2">
        <v>2</v>
      </c>
      <c r="Y19" s="2">
        <f t="shared" si="6"/>
        <v>54</v>
      </c>
      <c r="Z19" s="2">
        <f t="shared" si="7"/>
        <v>2.7</v>
      </c>
      <c r="AB19" s="2">
        <v>12</v>
      </c>
      <c r="AC19" s="2">
        <f>SUM($H$7:H19)</f>
        <v>33.5</v>
      </c>
      <c r="AD19" s="2">
        <f t="shared" si="8"/>
        <v>48.201438848920866</v>
      </c>
      <c r="AE19" s="2">
        <f>SUM($N$7:N19)</f>
        <v>6.3000000000000007</v>
      </c>
      <c r="AF19" s="2">
        <f t="shared" si="9"/>
        <v>45.985401459854018</v>
      </c>
      <c r="AG19" s="2">
        <f>SUM($T$7:T19)</f>
        <v>33.700000000000003</v>
      </c>
      <c r="AH19" s="2">
        <f t="shared" si="10"/>
        <v>22.496662216288385</v>
      </c>
      <c r="AI19" s="2">
        <f>SUM($Z$7:Z19)</f>
        <v>41.550000000000004</v>
      </c>
      <c r="AJ19" s="2">
        <f t="shared" si="11"/>
        <v>58.234057463209545</v>
      </c>
      <c r="AM19" s="2" t="s">
        <v>9</v>
      </c>
      <c r="AN19" s="2">
        <v>69.5</v>
      </c>
      <c r="AO19" s="2">
        <v>61.95</v>
      </c>
    </row>
    <row r="20" spans="2:48" x14ac:dyDescent="0.25">
      <c r="B20" s="2">
        <v>13</v>
      </c>
      <c r="C20" s="2">
        <v>0</v>
      </c>
      <c r="D20" s="2">
        <v>0</v>
      </c>
      <c r="E20" s="2">
        <v>3</v>
      </c>
      <c r="F20" s="2">
        <v>2</v>
      </c>
      <c r="G20" s="2">
        <f t="shared" si="0"/>
        <v>5</v>
      </c>
      <c r="H20" s="2">
        <f t="shared" si="1"/>
        <v>0.25</v>
      </c>
      <c r="I20" s="2">
        <v>1</v>
      </c>
      <c r="J20" s="2">
        <v>0</v>
      </c>
      <c r="K20" s="2">
        <v>0</v>
      </c>
      <c r="L20" s="2">
        <v>0</v>
      </c>
      <c r="M20" s="2">
        <f t="shared" si="2"/>
        <v>1</v>
      </c>
      <c r="N20" s="2">
        <f t="shared" si="3"/>
        <v>0.05</v>
      </c>
      <c r="O20" s="2">
        <v>5</v>
      </c>
      <c r="P20" s="2">
        <v>60</v>
      </c>
      <c r="Q20" s="2">
        <v>280</v>
      </c>
      <c r="R20" s="2">
        <v>89</v>
      </c>
      <c r="S20" s="2">
        <f t="shared" si="4"/>
        <v>434</v>
      </c>
      <c r="T20" s="2">
        <f t="shared" si="5"/>
        <v>21.7</v>
      </c>
      <c r="U20" s="2">
        <v>0</v>
      </c>
      <c r="V20" s="2">
        <v>19</v>
      </c>
      <c r="W20" s="2">
        <v>2</v>
      </c>
      <c r="X20" s="2">
        <v>0</v>
      </c>
      <c r="Y20" s="2">
        <f t="shared" si="6"/>
        <v>21</v>
      </c>
      <c r="Z20" s="2">
        <f t="shared" si="7"/>
        <v>1.05</v>
      </c>
      <c r="AB20" s="2">
        <v>13</v>
      </c>
      <c r="AC20" s="2">
        <f>SUM($H$7:H20)</f>
        <v>33.75</v>
      </c>
      <c r="AD20" s="2">
        <f t="shared" si="8"/>
        <v>48.561151079136685</v>
      </c>
      <c r="AE20" s="2">
        <f>SUM($N$7:N20)</f>
        <v>6.3500000000000005</v>
      </c>
      <c r="AF20" s="2">
        <f t="shared" si="9"/>
        <v>46.350364963503651</v>
      </c>
      <c r="AG20" s="2">
        <f>SUM($T$7:T20)</f>
        <v>55.400000000000006</v>
      </c>
      <c r="AH20" s="82">
        <f t="shared" si="10"/>
        <v>36.982643524699597</v>
      </c>
      <c r="AI20" s="2">
        <f>SUM($Z$7:Z20)</f>
        <v>42.6</v>
      </c>
      <c r="AJ20" s="2">
        <f t="shared" si="11"/>
        <v>59.705676243868268</v>
      </c>
      <c r="AM20" s="2" t="s">
        <v>10</v>
      </c>
      <c r="AN20" s="2">
        <v>13.7</v>
      </c>
      <c r="AO20" s="2">
        <v>19.399999999999999</v>
      </c>
    </row>
    <row r="21" spans="2:48" x14ac:dyDescent="0.25">
      <c r="B21" s="2">
        <v>14</v>
      </c>
      <c r="C21" s="2">
        <v>8</v>
      </c>
      <c r="D21" s="2">
        <v>12</v>
      </c>
      <c r="E21" s="2">
        <v>18</v>
      </c>
      <c r="F21" s="2">
        <v>5</v>
      </c>
      <c r="G21" s="2">
        <f t="shared" si="0"/>
        <v>43</v>
      </c>
      <c r="H21" s="2">
        <f t="shared" si="1"/>
        <v>2.15</v>
      </c>
      <c r="I21" s="2">
        <v>0</v>
      </c>
      <c r="J21" s="2">
        <v>1</v>
      </c>
      <c r="K21" s="2">
        <v>0</v>
      </c>
      <c r="L21" s="2">
        <v>2</v>
      </c>
      <c r="M21" s="2">
        <f t="shared" si="2"/>
        <v>3</v>
      </c>
      <c r="N21" s="2">
        <f t="shared" si="3"/>
        <v>0.15</v>
      </c>
      <c r="O21" s="2">
        <v>13</v>
      </c>
      <c r="P21" s="2">
        <v>11</v>
      </c>
      <c r="Q21" s="2">
        <v>117</v>
      </c>
      <c r="R21" s="2">
        <v>0</v>
      </c>
      <c r="S21" s="2">
        <f t="shared" si="4"/>
        <v>141</v>
      </c>
      <c r="T21" s="2">
        <f t="shared" si="5"/>
        <v>7.05</v>
      </c>
      <c r="U21" s="2">
        <v>0</v>
      </c>
      <c r="V21" s="2">
        <v>7</v>
      </c>
      <c r="W21" s="2">
        <v>0</v>
      </c>
      <c r="X21" s="2">
        <v>1</v>
      </c>
      <c r="Y21" s="2">
        <f t="shared" si="6"/>
        <v>8</v>
      </c>
      <c r="Z21" s="2">
        <f t="shared" si="7"/>
        <v>0.4</v>
      </c>
      <c r="AB21" s="2">
        <v>14</v>
      </c>
      <c r="AC21" s="2">
        <f>SUM($H$7:H21)</f>
        <v>35.9</v>
      </c>
      <c r="AD21" s="83">
        <f t="shared" si="8"/>
        <v>51.654676258992808</v>
      </c>
      <c r="AE21" s="2">
        <f>SUM($N$7:N21)</f>
        <v>6.5000000000000009</v>
      </c>
      <c r="AF21" s="2">
        <f t="shared" si="9"/>
        <v>47.445255474452566</v>
      </c>
      <c r="AG21" s="2">
        <f>SUM($T$7:T21)</f>
        <v>62.45</v>
      </c>
      <c r="AH21" s="2">
        <f t="shared" si="10"/>
        <v>41.68891855807744</v>
      </c>
      <c r="AI21" s="2">
        <f>SUM($Z$7:Z21)</f>
        <v>43</v>
      </c>
      <c r="AJ21" s="2">
        <f t="shared" si="11"/>
        <v>60.26629292221444</v>
      </c>
      <c r="AM21" s="2" t="s">
        <v>11</v>
      </c>
      <c r="AN21" s="2">
        <v>149.80000000000001</v>
      </c>
      <c r="AO21" s="2">
        <v>5.25</v>
      </c>
    </row>
    <row r="22" spans="2:48" x14ac:dyDescent="0.25">
      <c r="B22" s="2">
        <v>15</v>
      </c>
      <c r="C22" s="2">
        <v>0</v>
      </c>
      <c r="D22" s="2">
        <v>7</v>
      </c>
      <c r="E22" s="2">
        <v>15</v>
      </c>
      <c r="F22" s="2">
        <v>0</v>
      </c>
      <c r="G22" s="2">
        <f t="shared" si="0"/>
        <v>22</v>
      </c>
      <c r="H22" s="2">
        <f t="shared" si="1"/>
        <v>1.1000000000000001</v>
      </c>
      <c r="I22" s="2">
        <v>3</v>
      </c>
      <c r="J22" s="2">
        <v>0</v>
      </c>
      <c r="K22" s="2">
        <v>3</v>
      </c>
      <c r="L22" s="2">
        <v>0</v>
      </c>
      <c r="M22" s="2">
        <f t="shared" si="2"/>
        <v>6</v>
      </c>
      <c r="N22" s="2">
        <f t="shared" si="3"/>
        <v>0.3</v>
      </c>
      <c r="O22" s="2">
        <v>37</v>
      </c>
      <c r="P22" s="2">
        <v>34</v>
      </c>
      <c r="Q22" s="2">
        <v>1</v>
      </c>
      <c r="R22" s="2">
        <v>0</v>
      </c>
      <c r="S22" s="2">
        <f t="shared" si="4"/>
        <v>72</v>
      </c>
      <c r="T22" s="2">
        <f t="shared" si="5"/>
        <v>3.6</v>
      </c>
      <c r="U22" s="2">
        <v>0</v>
      </c>
      <c r="V22" s="2">
        <v>0</v>
      </c>
      <c r="W22" s="2">
        <v>14</v>
      </c>
      <c r="X22" s="2">
        <v>5</v>
      </c>
      <c r="Y22" s="2">
        <f t="shared" si="6"/>
        <v>19</v>
      </c>
      <c r="Z22" s="2">
        <f t="shared" si="7"/>
        <v>0.95</v>
      </c>
      <c r="AB22" s="2">
        <v>15</v>
      </c>
      <c r="AC22" s="2">
        <f>SUM($H$7:H22)</f>
        <v>37</v>
      </c>
      <c r="AD22" s="2">
        <f t="shared" si="8"/>
        <v>53.237410071942449</v>
      </c>
      <c r="AE22" s="2">
        <f>SUM($N$7:N22)</f>
        <v>6.8000000000000007</v>
      </c>
      <c r="AF22" s="2">
        <f t="shared" si="9"/>
        <v>49.635036496350374</v>
      </c>
      <c r="AG22" s="2">
        <f>SUM($T$7:T22)</f>
        <v>66.05</v>
      </c>
      <c r="AH22" s="2">
        <f t="shared" si="10"/>
        <v>44.09212283044058</v>
      </c>
      <c r="AI22" s="2">
        <f>SUM($Z$7:Z22)</f>
        <v>43.95</v>
      </c>
      <c r="AJ22" s="2">
        <f t="shared" si="11"/>
        <v>61.597757533286625</v>
      </c>
      <c r="AM22" s="2" t="s">
        <v>12</v>
      </c>
      <c r="AN22" s="2">
        <v>71.349999999999994</v>
      </c>
      <c r="AO22" s="2">
        <v>3.1</v>
      </c>
    </row>
    <row r="23" spans="2:48" x14ac:dyDescent="0.25">
      <c r="B23" s="2">
        <v>16</v>
      </c>
      <c r="C23" s="2">
        <v>13</v>
      </c>
      <c r="D23" s="2">
        <v>98</v>
      </c>
      <c r="E23" s="2">
        <v>5</v>
      </c>
      <c r="F23" s="2">
        <v>15</v>
      </c>
      <c r="G23" s="2">
        <f t="shared" si="0"/>
        <v>131</v>
      </c>
      <c r="H23" s="2">
        <f t="shared" si="1"/>
        <v>6.55</v>
      </c>
      <c r="I23" s="2">
        <v>0</v>
      </c>
      <c r="J23" s="2">
        <v>1</v>
      </c>
      <c r="K23" s="2">
        <v>12</v>
      </c>
      <c r="L23" s="2">
        <v>0</v>
      </c>
      <c r="M23" s="2">
        <f t="shared" si="2"/>
        <v>13</v>
      </c>
      <c r="N23" s="2">
        <f t="shared" si="3"/>
        <v>0.65</v>
      </c>
      <c r="O23" s="2">
        <v>7</v>
      </c>
      <c r="P23" s="2">
        <v>19</v>
      </c>
      <c r="Q23" s="2">
        <v>0</v>
      </c>
      <c r="R23" s="2">
        <v>2</v>
      </c>
      <c r="S23" s="2">
        <f t="shared" si="4"/>
        <v>28</v>
      </c>
      <c r="T23" s="2">
        <f t="shared" si="5"/>
        <v>1.4</v>
      </c>
      <c r="U23" s="2">
        <v>0</v>
      </c>
      <c r="V23" s="2">
        <v>54</v>
      </c>
      <c r="W23" s="2">
        <v>0</v>
      </c>
      <c r="X23" s="2">
        <v>0</v>
      </c>
      <c r="Y23" s="2">
        <f t="shared" si="6"/>
        <v>54</v>
      </c>
      <c r="Z23" s="2">
        <f t="shared" si="7"/>
        <v>2.7</v>
      </c>
      <c r="AB23" s="2">
        <v>16</v>
      </c>
      <c r="AC23" s="2">
        <f>SUM($H$7:H23)</f>
        <v>43.55</v>
      </c>
      <c r="AD23" s="2">
        <f t="shared" si="8"/>
        <v>62.661870503597115</v>
      </c>
      <c r="AE23" s="2">
        <f>SUM($N$7:N23)</f>
        <v>7.4500000000000011</v>
      </c>
      <c r="AF23" s="83">
        <f t="shared" si="9"/>
        <v>54.379562043795623</v>
      </c>
      <c r="AG23" s="2">
        <f>SUM($T$7:T23)</f>
        <v>67.45</v>
      </c>
      <c r="AH23" s="2">
        <f t="shared" si="10"/>
        <v>45.026702269692919</v>
      </c>
      <c r="AI23" s="2">
        <f>SUM($Z$7:Z23)</f>
        <v>46.650000000000006</v>
      </c>
      <c r="AJ23" s="2">
        <f t="shared" si="11"/>
        <v>65.381920112123353</v>
      </c>
    </row>
    <row r="24" spans="2:48" x14ac:dyDescent="0.25">
      <c r="B24" s="2">
        <v>17</v>
      </c>
      <c r="C24" s="2">
        <v>10</v>
      </c>
      <c r="D24" s="2">
        <v>5</v>
      </c>
      <c r="E24" s="2">
        <v>3</v>
      </c>
      <c r="F24" s="2">
        <v>21</v>
      </c>
      <c r="G24" s="2">
        <f t="shared" si="0"/>
        <v>39</v>
      </c>
      <c r="H24" s="2">
        <f t="shared" si="1"/>
        <v>1.95</v>
      </c>
      <c r="I24" s="2">
        <v>0</v>
      </c>
      <c r="J24" s="2">
        <v>0</v>
      </c>
      <c r="K24" s="2">
        <v>1</v>
      </c>
      <c r="L24" s="2">
        <v>9</v>
      </c>
      <c r="M24" s="2">
        <f t="shared" si="2"/>
        <v>10</v>
      </c>
      <c r="N24" s="2">
        <f t="shared" si="3"/>
        <v>0.5</v>
      </c>
      <c r="O24" s="2">
        <v>0</v>
      </c>
      <c r="P24" s="2">
        <v>4</v>
      </c>
      <c r="Q24" s="2">
        <v>2</v>
      </c>
      <c r="R24" s="2">
        <v>2</v>
      </c>
      <c r="S24" s="2">
        <f t="shared" si="4"/>
        <v>8</v>
      </c>
      <c r="T24" s="2">
        <f t="shared" si="5"/>
        <v>0.4</v>
      </c>
      <c r="U24" s="2">
        <v>0</v>
      </c>
      <c r="V24" s="2">
        <v>2</v>
      </c>
      <c r="W24" s="2">
        <v>0</v>
      </c>
      <c r="X24" s="2">
        <v>0</v>
      </c>
      <c r="Y24" s="2">
        <f t="shared" si="6"/>
        <v>2</v>
      </c>
      <c r="Z24" s="2">
        <f t="shared" si="7"/>
        <v>0.1</v>
      </c>
      <c r="AB24" s="2">
        <v>17</v>
      </c>
      <c r="AC24" s="2">
        <f>SUM($H$7:H24)</f>
        <v>45.5</v>
      </c>
      <c r="AD24" s="2">
        <f t="shared" si="8"/>
        <v>65.467625899280577</v>
      </c>
      <c r="AE24" s="2">
        <f>SUM($N$7:N24)</f>
        <v>7.9500000000000011</v>
      </c>
      <c r="AF24" s="2">
        <f t="shared" si="9"/>
        <v>58.029197080291986</v>
      </c>
      <c r="AG24" s="2">
        <f>SUM($T$7:T24)</f>
        <v>67.850000000000009</v>
      </c>
      <c r="AH24" s="2">
        <f t="shared" si="10"/>
        <v>45.293724966622165</v>
      </c>
      <c r="AI24" s="2">
        <f>SUM($Z$7:Z24)</f>
        <v>46.750000000000007</v>
      </c>
      <c r="AJ24" s="2">
        <f t="shared" si="11"/>
        <v>65.522074281709891</v>
      </c>
    </row>
    <row r="25" spans="2:48" x14ac:dyDescent="0.25">
      <c r="B25" s="2">
        <v>18</v>
      </c>
      <c r="C25" s="2">
        <v>1</v>
      </c>
      <c r="D25" s="2">
        <v>3</v>
      </c>
      <c r="E25" s="2">
        <v>15</v>
      </c>
      <c r="F25" s="2">
        <v>0</v>
      </c>
      <c r="G25" s="2">
        <f t="shared" si="0"/>
        <v>19</v>
      </c>
      <c r="H25" s="2">
        <f t="shared" si="1"/>
        <v>0.95</v>
      </c>
      <c r="I25" s="2">
        <v>3</v>
      </c>
      <c r="J25" s="2">
        <v>0</v>
      </c>
      <c r="K25" s="2">
        <v>14</v>
      </c>
      <c r="L25" s="2">
        <v>0</v>
      </c>
      <c r="M25" s="2">
        <f t="shared" si="2"/>
        <v>17</v>
      </c>
      <c r="N25" s="2">
        <f t="shared" si="3"/>
        <v>0.85</v>
      </c>
      <c r="O25" s="2">
        <v>0</v>
      </c>
      <c r="P25" s="2">
        <v>3</v>
      </c>
      <c r="Q25" s="2">
        <v>1</v>
      </c>
      <c r="R25" s="2">
        <v>41</v>
      </c>
      <c r="S25" s="2">
        <f t="shared" si="4"/>
        <v>45</v>
      </c>
      <c r="T25" s="2">
        <f t="shared" si="5"/>
        <v>2.25</v>
      </c>
      <c r="U25" s="2">
        <v>6</v>
      </c>
      <c r="V25" s="2">
        <v>43</v>
      </c>
      <c r="W25" s="2">
        <v>0</v>
      </c>
      <c r="X25" s="2">
        <v>0</v>
      </c>
      <c r="Y25" s="2">
        <f t="shared" si="6"/>
        <v>49</v>
      </c>
      <c r="Z25" s="2">
        <f t="shared" si="7"/>
        <v>2.4500000000000002</v>
      </c>
      <c r="AB25" s="2">
        <v>18</v>
      </c>
      <c r="AC25" s="2">
        <f>SUM($H$7:H25)</f>
        <v>46.45</v>
      </c>
      <c r="AD25" s="2">
        <f t="shared" si="8"/>
        <v>66.834532374100718</v>
      </c>
      <c r="AE25" s="2">
        <f>SUM($N$7:N25)</f>
        <v>8.8000000000000007</v>
      </c>
      <c r="AF25" s="2">
        <f t="shared" si="9"/>
        <v>64.233576642335777</v>
      </c>
      <c r="AG25" s="2">
        <f>SUM($T$7:T25)</f>
        <v>70.100000000000009</v>
      </c>
      <c r="AH25" s="2">
        <f t="shared" si="10"/>
        <v>46.795727636849129</v>
      </c>
      <c r="AI25" s="2">
        <f>SUM($Z$7:Z25)</f>
        <v>49.20000000000001</v>
      </c>
      <c r="AJ25" s="2">
        <f t="shared" si="11"/>
        <v>68.955851436580261</v>
      </c>
    </row>
    <row r="26" spans="2:48" x14ac:dyDescent="0.25">
      <c r="B26" s="2">
        <v>19</v>
      </c>
      <c r="C26" s="2">
        <v>0</v>
      </c>
      <c r="D26" s="2">
        <v>17</v>
      </c>
      <c r="E26" s="2">
        <v>21</v>
      </c>
      <c r="F26" s="2">
        <v>0</v>
      </c>
      <c r="G26" s="2">
        <f t="shared" si="0"/>
        <v>38</v>
      </c>
      <c r="H26" s="2">
        <f t="shared" si="1"/>
        <v>1.9</v>
      </c>
      <c r="I26" s="2">
        <v>0</v>
      </c>
      <c r="J26" s="2">
        <v>0</v>
      </c>
      <c r="K26" s="2">
        <v>6</v>
      </c>
      <c r="L26" s="2">
        <v>2</v>
      </c>
      <c r="M26" s="2">
        <f t="shared" si="2"/>
        <v>8</v>
      </c>
      <c r="N26" s="2">
        <f t="shared" si="3"/>
        <v>0.4</v>
      </c>
      <c r="O26" s="2">
        <v>135</v>
      </c>
      <c r="P26" s="2">
        <v>72</v>
      </c>
      <c r="Q26" s="2">
        <v>321</v>
      </c>
      <c r="R26" s="2">
        <v>216</v>
      </c>
      <c r="S26" s="2">
        <f t="shared" si="4"/>
        <v>744</v>
      </c>
      <c r="T26" s="2">
        <f t="shared" si="5"/>
        <v>37.200000000000003</v>
      </c>
      <c r="U26" s="2">
        <v>0</v>
      </c>
      <c r="V26" s="2">
        <v>11</v>
      </c>
      <c r="W26" s="2">
        <v>30</v>
      </c>
      <c r="X26" s="2">
        <v>0</v>
      </c>
      <c r="Y26" s="2">
        <f t="shared" si="6"/>
        <v>41</v>
      </c>
      <c r="Z26" s="2">
        <f t="shared" si="7"/>
        <v>2.0499999999999998</v>
      </c>
      <c r="AB26" s="2">
        <v>19</v>
      </c>
      <c r="AC26" s="2">
        <f>SUM($H$7:H26)</f>
        <v>48.35</v>
      </c>
      <c r="AD26" s="2">
        <f t="shared" si="8"/>
        <v>69.568345323741013</v>
      </c>
      <c r="AE26" s="2">
        <f>SUM($N$7:N26)</f>
        <v>9.2000000000000011</v>
      </c>
      <c r="AF26" s="2">
        <f t="shared" si="9"/>
        <v>67.153284671532859</v>
      </c>
      <c r="AG26" s="2">
        <f>SUM($T$7:T26)</f>
        <v>107.30000000000001</v>
      </c>
      <c r="AH26" s="83">
        <f t="shared" si="10"/>
        <v>71.628838451268365</v>
      </c>
      <c r="AI26" s="2">
        <f>SUM($Z$7:Z26)</f>
        <v>51.250000000000007</v>
      </c>
      <c r="AJ26" s="2">
        <f t="shared" si="11"/>
        <v>71.829011913104438</v>
      </c>
    </row>
    <row r="27" spans="2:48" x14ac:dyDescent="0.25">
      <c r="B27" s="2">
        <v>20</v>
      </c>
      <c r="C27" s="2">
        <v>13</v>
      </c>
      <c r="D27" s="2">
        <v>0</v>
      </c>
      <c r="E27" s="2">
        <v>8</v>
      </c>
      <c r="F27" s="2">
        <v>5</v>
      </c>
      <c r="G27" s="2">
        <f t="shared" si="0"/>
        <v>26</v>
      </c>
      <c r="H27" s="2">
        <f t="shared" si="1"/>
        <v>1.3</v>
      </c>
      <c r="I27" s="2">
        <v>0</v>
      </c>
      <c r="J27" s="2">
        <v>0</v>
      </c>
      <c r="K27" s="2">
        <v>0</v>
      </c>
      <c r="L27" s="2">
        <v>17</v>
      </c>
      <c r="M27" s="2">
        <f t="shared" si="2"/>
        <v>17</v>
      </c>
      <c r="N27" s="2">
        <f t="shared" si="3"/>
        <v>0.85</v>
      </c>
      <c r="O27" s="2">
        <v>56</v>
      </c>
      <c r="P27" s="2">
        <v>38</v>
      </c>
      <c r="Q27" s="2">
        <v>0</v>
      </c>
      <c r="R27" s="2">
        <v>55</v>
      </c>
      <c r="S27" s="2">
        <f t="shared" si="4"/>
        <v>149</v>
      </c>
      <c r="T27" s="2">
        <f t="shared" si="5"/>
        <v>7.45</v>
      </c>
      <c r="U27" s="2">
        <v>3</v>
      </c>
      <c r="V27" s="2">
        <v>3</v>
      </c>
      <c r="W27" s="2">
        <v>33</v>
      </c>
      <c r="X27" s="2">
        <v>0</v>
      </c>
      <c r="Y27" s="2">
        <f t="shared" si="6"/>
        <v>39</v>
      </c>
      <c r="Z27" s="2">
        <f t="shared" si="7"/>
        <v>1.95</v>
      </c>
      <c r="AB27" s="2">
        <v>20</v>
      </c>
      <c r="AC27" s="2">
        <f>SUM($H$7:H27)</f>
        <v>49.65</v>
      </c>
      <c r="AD27" s="2">
        <f t="shared" si="8"/>
        <v>71.438848920863308</v>
      </c>
      <c r="AE27" s="2">
        <f>SUM($N$7:N27)</f>
        <v>10.050000000000001</v>
      </c>
      <c r="AF27" s="2">
        <f t="shared" si="9"/>
        <v>73.357664233576642</v>
      </c>
      <c r="AG27" s="2">
        <f>SUM($T$7:T27)</f>
        <v>114.75000000000001</v>
      </c>
      <c r="AH27" s="84">
        <f t="shared" si="10"/>
        <v>76.602136181575446</v>
      </c>
      <c r="AI27" s="2">
        <f>SUM($Z$7:Z27)</f>
        <v>53.20000000000001</v>
      </c>
      <c r="AJ27" s="2">
        <f t="shared" si="11"/>
        <v>74.562018220042063</v>
      </c>
    </row>
    <row r="28" spans="2:48" x14ac:dyDescent="0.25">
      <c r="B28" s="2">
        <v>21</v>
      </c>
      <c r="C28" s="2">
        <v>5</v>
      </c>
      <c r="D28" s="2">
        <v>10</v>
      </c>
      <c r="E28" s="2">
        <v>83</v>
      </c>
      <c r="F28" s="2">
        <v>127</v>
      </c>
      <c r="G28" s="2">
        <f t="shared" si="0"/>
        <v>225</v>
      </c>
      <c r="H28" s="2">
        <f t="shared" si="1"/>
        <v>11.25</v>
      </c>
      <c r="I28" s="2">
        <v>0</v>
      </c>
      <c r="J28" s="2">
        <v>0</v>
      </c>
      <c r="K28" s="2">
        <v>2</v>
      </c>
      <c r="L28" s="2">
        <v>11</v>
      </c>
      <c r="M28" s="2">
        <f t="shared" si="2"/>
        <v>13</v>
      </c>
      <c r="N28" s="2">
        <f t="shared" si="3"/>
        <v>0.65</v>
      </c>
      <c r="O28" s="2">
        <v>28</v>
      </c>
      <c r="P28" s="2">
        <v>44</v>
      </c>
      <c r="Q28" s="2">
        <v>8</v>
      </c>
      <c r="R28" s="2">
        <v>0</v>
      </c>
      <c r="S28" s="2">
        <f t="shared" si="4"/>
        <v>80</v>
      </c>
      <c r="T28" s="2">
        <f t="shared" si="5"/>
        <v>4</v>
      </c>
      <c r="U28" s="2">
        <v>10</v>
      </c>
      <c r="V28" s="2">
        <v>3</v>
      </c>
      <c r="W28" s="2">
        <v>0</v>
      </c>
      <c r="X28" s="2">
        <v>0</v>
      </c>
      <c r="Y28" s="2">
        <f t="shared" si="6"/>
        <v>13</v>
      </c>
      <c r="Z28" s="2">
        <f t="shared" si="7"/>
        <v>0.65</v>
      </c>
      <c r="AB28" s="2">
        <v>21</v>
      </c>
      <c r="AC28" s="2">
        <f>SUM($H$7:H28)</f>
        <v>60.9</v>
      </c>
      <c r="AD28" s="84">
        <f t="shared" si="8"/>
        <v>87.625899280575538</v>
      </c>
      <c r="AE28" s="2">
        <f>SUM($N$7:N28)</f>
        <v>10.700000000000001</v>
      </c>
      <c r="AF28" s="84">
        <f t="shared" si="9"/>
        <v>78.10218978102192</v>
      </c>
      <c r="AG28" s="2">
        <f>SUM($T$7:T28)</f>
        <v>118.75000000000001</v>
      </c>
      <c r="AH28" s="2">
        <f t="shared" si="10"/>
        <v>79.272363150867832</v>
      </c>
      <c r="AI28" s="2">
        <f>SUM($Z$7:Z28)</f>
        <v>53.850000000000009</v>
      </c>
      <c r="AJ28" s="84">
        <f t="shared" si="11"/>
        <v>75.473020322354614</v>
      </c>
      <c r="AM28" s="60"/>
      <c r="AN28" s="60"/>
      <c r="AO28" s="60"/>
      <c r="AP28" s="60"/>
      <c r="AQ28" s="60"/>
      <c r="AR28" s="60"/>
      <c r="AS28" s="60"/>
      <c r="AT28" s="60"/>
      <c r="AU28" s="60"/>
      <c r="AV28" s="60"/>
    </row>
    <row r="29" spans="2:48" x14ac:dyDescent="0.25">
      <c r="B29" s="2">
        <v>22</v>
      </c>
      <c r="C29" s="2">
        <v>48</v>
      </c>
      <c r="D29" s="2">
        <v>6</v>
      </c>
      <c r="E29" s="2">
        <v>3</v>
      </c>
      <c r="F29" s="2">
        <v>0</v>
      </c>
      <c r="G29" s="2">
        <f t="shared" si="0"/>
        <v>57</v>
      </c>
      <c r="H29" s="2">
        <f t="shared" si="1"/>
        <v>2.85</v>
      </c>
      <c r="I29" s="2">
        <v>0</v>
      </c>
      <c r="J29" s="2">
        <v>0</v>
      </c>
      <c r="K29" s="2">
        <v>1</v>
      </c>
      <c r="L29" s="2">
        <v>0</v>
      </c>
      <c r="M29" s="2">
        <f t="shared" si="2"/>
        <v>1</v>
      </c>
      <c r="N29" s="2">
        <f t="shared" si="3"/>
        <v>0.05</v>
      </c>
      <c r="O29" s="2">
        <v>85</v>
      </c>
      <c r="P29" s="2">
        <v>25</v>
      </c>
      <c r="Q29" s="2">
        <v>223</v>
      </c>
      <c r="R29" s="2">
        <v>1</v>
      </c>
      <c r="S29" s="2">
        <f t="shared" si="4"/>
        <v>334</v>
      </c>
      <c r="T29" s="2">
        <f t="shared" si="5"/>
        <v>16.7</v>
      </c>
      <c r="U29" s="2">
        <v>0</v>
      </c>
      <c r="V29" s="2">
        <v>27</v>
      </c>
      <c r="W29" s="2">
        <v>39</v>
      </c>
      <c r="X29" s="2">
        <v>165</v>
      </c>
      <c r="Y29" s="2">
        <f t="shared" si="6"/>
        <v>231</v>
      </c>
      <c r="Z29" s="2">
        <f t="shared" si="7"/>
        <v>11.55</v>
      </c>
      <c r="AB29" s="2">
        <v>22</v>
      </c>
      <c r="AC29" s="2">
        <f>SUM($H$7:H29)</f>
        <v>63.75</v>
      </c>
      <c r="AD29" s="2">
        <f t="shared" si="8"/>
        <v>91.72661870503596</v>
      </c>
      <c r="AE29" s="2">
        <f>SUM($N$7:N29)</f>
        <v>10.750000000000002</v>
      </c>
      <c r="AF29" s="2">
        <f t="shared" si="9"/>
        <v>78.467153284671554</v>
      </c>
      <c r="AG29" s="2">
        <f>SUM($T$7:T29)</f>
        <v>135.45000000000002</v>
      </c>
      <c r="AH29" s="2">
        <f t="shared" si="10"/>
        <v>90.420560747663558</v>
      </c>
      <c r="AI29" s="2">
        <f>SUM($Z$7:Z29)</f>
        <v>65.400000000000006</v>
      </c>
      <c r="AJ29" s="2">
        <f t="shared" si="11"/>
        <v>91.660826909600573</v>
      </c>
      <c r="AN29" s="60"/>
      <c r="AO29" s="60"/>
      <c r="AP29" s="60"/>
      <c r="AQ29" s="60"/>
      <c r="AR29" s="60"/>
      <c r="AS29" s="60"/>
      <c r="AT29" s="60"/>
      <c r="AU29" s="60"/>
      <c r="AV29" s="60"/>
    </row>
    <row r="30" spans="2:48" x14ac:dyDescent="0.25">
      <c r="B30" s="2">
        <v>23</v>
      </c>
      <c r="C30" s="2">
        <v>4</v>
      </c>
      <c r="D30" s="2">
        <v>70</v>
      </c>
      <c r="E30" s="2">
        <v>9</v>
      </c>
      <c r="F30" s="2">
        <v>29</v>
      </c>
      <c r="G30" s="2">
        <f t="shared" si="0"/>
        <v>112</v>
      </c>
      <c r="H30" s="2">
        <f t="shared" si="1"/>
        <v>5.6</v>
      </c>
      <c r="I30" s="2">
        <v>9</v>
      </c>
      <c r="J30" s="2">
        <v>16</v>
      </c>
      <c r="K30" s="2">
        <v>0</v>
      </c>
      <c r="L30" s="2">
        <v>8</v>
      </c>
      <c r="M30" s="2">
        <f t="shared" si="2"/>
        <v>33</v>
      </c>
      <c r="N30" s="2">
        <f t="shared" si="3"/>
        <v>1.65</v>
      </c>
      <c r="O30" s="2">
        <v>85</v>
      </c>
      <c r="P30" s="2">
        <v>43</v>
      </c>
      <c r="Q30" s="2">
        <v>6</v>
      </c>
      <c r="R30" s="2">
        <v>60</v>
      </c>
      <c r="S30" s="2">
        <f t="shared" si="4"/>
        <v>194</v>
      </c>
      <c r="T30" s="2">
        <f t="shared" si="5"/>
        <v>9.6999999999999993</v>
      </c>
      <c r="U30" s="2">
        <v>1</v>
      </c>
      <c r="V30" s="2">
        <v>24</v>
      </c>
      <c r="W30" s="2">
        <v>0</v>
      </c>
      <c r="X30" s="2">
        <v>14</v>
      </c>
      <c r="Y30" s="2">
        <f t="shared" si="6"/>
        <v>39</v>
      </c>
      <c r="Z30" s="2">
        <f t="shared" si="7"/>
        <v>1.95</v>
      </c>
      <c r="AB30" s="2">
        <v>23</v>
      </c>
      <c r="AC30" s="2">
        <f>SUM($H$7:H30)</f>
        <v>69.349999999999994</v>
      </c>
      <c r="AD30" s="85">
        <f t="shared" si="8"/>
        <v>99.7841726618705</v>
      </c>
      <c r="AE30" s="2">
        <f>SUM($N$7:N30)</f>
        <v>12.400000000000002</v>
      </c>
      <c r="AF30" s="2">
        <f t="shared" si="9"/>
        <v>90.510948905109515</v>
      </c>
      <c r="AG30" s="2">
        <f>SUM($T$7:T30)</f>
        <v>145.15</v>
      </c>
      <c r="AH30" s="85">
        <f t="shared" si="10"/>
        <v>96.895861148197596</v>
      </c>
      <c r="AI30" s="2">
        <f>SUM($Z$7:Z30)</f>
        <v>67.350000000000009</v>
      </c>
      <c r="AJ30" s="2">
        <f t="shared" si="11"/>
        <v>94.393833216538212</v>
      </c>
      <c r="AN30" s="61"/>
      <c r="AO30" s="61"/>
      <c r="AP30" s="61"/>
      <c r="AQ30" s="61"/>
      <c r="AR30" s="61"/>
      <c r="AS30" s="61"/>
      <c r="AT30" s="61"/>
      <c r="AU30" s="61"/>
      <c r="AV30" s="61"/>
    </row>
    <row r="31" spans="2:48" x14ac:dyDescent="0.25">
      <c r="B31" s="2">
        <v>24</v>
      </c>
      <c r="C31" s="2">
        <v>3</v>
      </c>
      <c r="D31" s="2">
        <v>0</v>
      </c>
      <c r="E31" s="2">
        <v>0</v>
      </c>
      <c r="F31" s="2">
        <v>0</v>
      </c>
      <c r="G31" s="2">
        <f t="shared" si="0"/>
        <v>3</v>
      </c>
      <c r="H31" s="2">
        <f t="shared" si="1"/>
        <v>0.15</v>
      </c>
      <c r="I31" s="2">
        <v>0</v>
      </c>
      <c r="J31" s="2">
        <v>16</v>
      </c>
      <c r="K31" s="2">
        <v>4</v>
      </c>
      <c r="L31" s="2">
        <v>6</v>
      </c>
      <c r="M31" s="2">
        <f t="shared" si="2"/>
        <v>26</v>
      </c>
      <c r="N31" s="2">
        <f t="shared" si="3"/>
        <v>1.3</v>
      </c>
      <c r="O31" s="2">
        <v>3</v>
      </c>
      <c r="P31" s="2">
        <v>46</v>
      </c>
      <c r="Q31" s="2">
        <v>14</v>
      </c>
      <c r="R31" s="2">
        <v>30</v>
      </c>
      <c r="S31" s="2">
        <f t="shared" si="4"/>
        <v>93</v>
      </c>
      <c r="T31" s="2">
        <f t="shared" si="5"/>
        <v>4.6500000000000004</v>
      </c>
      <c r="U31" s="2">
        <v>34</v>
      </c>
      <c r="V31" s="2">
        <v>35</v>
      </c>
      <c r="W31" s="2">
        <v>9</v>
      </c>
      <c r="X31" s="2">
        <v>2</v>
      </c>
      <c r="Y31" s="2">
        <f t="shared" si="6"/>
        <v>80</v>
      </c>
      <c r="Z31" s="2">
        <f t="shared" si="7"/>
        <v>4</v>
      </c>
      <c r="AB31" s="2">
        <v>24</v>
      </c>
      <c r="AC31" s="2">
        <f>SUM($H$7:H31)</f>
        <v>69.5</v>
      </c>
      <c r="AD31" s="2">
        <f t="shared" si="8"/>
        <v>100</v>
      </c>
      <c r="AE31" s="2">
        <f>SUM($N$7:N31)</f>
        <v>13.700000000000003</v>
      </c>
      <c r="AF31" s="85">
        <f t="shared" si="9"/>
        <v>100.00000000000003</v>
      </c>
      <c r="AG31" s="2">
        <f>SUM($T$7:T31)</f>
        <v>149.80000000000001</v>
      </c>
      <c r="AH31" s="2">
        <f t="shared" si="10"/>
        <v>100</v>
      </c>
      <c r="AI31" s="2">
        <f>SUM($Z$7:Z31)</f>
        <v>71.350000000000009</v>
      </c>
      <c r="AJ31" s="85">
        <f t="shared" si="11"/>
        <v>100.00000000000003</v>
      </c>
      <c r="AM31" s="58" t="s">
        <v>110</v>
      </c>
      <c r="AN31" s="58"/>
      <c r="AO31" s="58"/>
      <c r="AP31" s="58"/>
      <c r="AQ31" s="58"/>
      <c r="AR31" s="58"/>
      <c r="AS31" s="58"/>
      <c r="AT31" s="58"/>
      <c r="AU31" s="58"/>
      <c r="AV31" s="58"/>
    </row>
    <row r="32" spans="2:48" x14ac:dyDescent="0.25">
      <c r="H32" s="48">
        <f>SUM(H7:H31)</f>
        <v>69.5</v>
      </c>
      <c r="N32" s="48">
        <f>SUM(N7:N31)</f>
        <v>13.700000000000003</v>
      </c>
      <c r="T32" s="48">
        <f>SUM(T7:T31)</f>
        <v>149.80000000000001</v>
      </c>
      <c r="Z32">
        <f>SUM(Z7:Z31)</f>
        <v>71.350000000000009</v>
      </c>
      <c r="AM32" s="58"/>
      <c r="AN32" s="58"/>
      <c r="AO32" s="58"/>
      <c r="AP32" s="58"/>
      <c r="AQ32" s="58"/>
      <c r="AR32" s="58"/>
      <c r="AS32" s="58"/>
      <c r="AT32" s="58"/>
      <c r="AU32" s="58"/>
      <c r="AV32" s="58"/>
    </row>
    <row r="33" spans="2:48" x14ac:dyDescent="0.25">
      <c r="AM33" s="58"/>
      <c r="AN33" s="58"/>
      <c r="AO33" s="58"/>
      <c r="AP33" s="58"/>
      <c r="AQ33" s="58"/>
      <c r="AR33" s="58"/>
      <c r="AS33" s="58"/>
      <c r="AT33" s="58"/>
      <c r="AU33" s="58"/>
      <c r="AV33" s="58"/>
    </row>
    <row r="34" spans="2:48" ht="30" x14ac:dyDescent="0.25">
      <c r="B34" s="62" t="s">
        <v>76</v>
      </c>
      <c r="C34" s="55" t="s">
        <v>87</v>
      </c>
      <c r="D34" s="55"/>
      <c r="E34" s="55"/>
      <c r="F34" s="55"/>
      <c r="G34" s="55"/>
      <c r="H34" s="55"/>
      <c r="I34" s="55"/>
      <c r="J34" s="55"/>
      <c r="K34" s="55"/>
      <c r="L34" s="55"/>
      <c r="M34" s="55"/>
      <c r="N34" s="55"/>
      <c r="O34" s="55"/>
      <c r="P34" s="55"/>
      <c r="Q34" s="55"/>
      <c r="R34" s="55"/>
      <c r="S34" s="55"/>
      <c r="T34" s="55"/>
      <c r="U34" s="55"/>
      <c r="V34" s="55"/>
      <c r="W34" s="55"/>
      <c r="X34" s="55"/>
      <c r="Y34" s="2"/>
      <c r="Z34" s="2"/>
      <c r="AB34" s="58" t="s">
        <v>60</v>
      </c>
      <c r="AC34" s="63" t="s">
        <v>88</v>
      </c>
      <c r="AD34" s="63"/>
      <c r="AE34" s="63"/>
      <c r="AF34" s="63"/>
      <c r="AG34" s="63"/>
      <c r="AH34" s="63"/>
      <c r="AI34" s="63"/>
      <c r="AJ34" s="2"/>
      <c r="AK34" s="53" t="s">
        <v>70</v>
      </c>
      <c r="AM34" s="55" t="s">
        <v>78</v>
      </c>
      <c r="AN34" s="55"/>
      <c r="AO34" s="55"/>
      <c r="AP34" s="55"/>
      <c r="AQ34" s="55"/>
      <c r="AR34" s="55"/>
      <c r="AS34" s="55"/>
      <c r="AT34" s="55"/>
      <c r="AU34" s="55"/>
      <c r="AV34" s="55"/>
    </row>
    <row r="35" spans="2:48" ht="15" customHeight="1" x14ac:dyDescent="0.25">
      <c r="B35" s="62"/>
      <c r="C35" s="7" t="s">
        <v>9</v>
      </c>
      <c r="D35" s="7" t="s">
        <v>9</v>
      </c>
      <c r="E35" s="7" t="s">
        <v>9</v>
      </c>
      <c r="F35" s="7" t="s">
        <v>9</v>
      </c>
      <c r="G35" s="7" t="s">
        <v>71</v>
      </c>
      <c r="H35" s="49" t="s">
        <v>72</v>
      </c>
      <c r="I35" s="7" t="s">
        <v>10</v>
      </c>
      <c r="J35" s="7" t="s">
        <v>10</v>
      </c>
      <c r="K35" s="7" t="s">
        <v>10</v>
      </c>
      <c r="L35" s="7" t="s">
        <v>10</v>
      </c>
      <c r="M35" s="7" t="s">
        <v>71</v>
      </c>
      <c r="N35" s="49" t="s">
        <v>72</v>
      </c>
      <c r="O35" s="7" t="s">
        <v>11</v>
      </c>
      <c r="P35" s="7" t="s">
        <v>11</v>
      </c>
      <c r="Q35" s="7" t="s">
        <v>11</v>
      </c>
      <c r="R35" s="7" t="s">
        <v>11</v>
      </c>
      <c r="S35" s="7" t="s">
        <v>71</v>
      </c>
      <c r="T35" s="49" t="s">
        <v>72</v>
      </c>
      <c r="U35" s="7" t="s">
        <v>12</v>
      </c>
      <c r="V35" s="7" t="s">
        <v>12</v>
      </c>
      <c r="W35" s="7" t="s">
        <v>12</v>
      </c>
      <c r="X35" s="7" t="s">
        <v>12</v>
      </c>
      <c r="Y35" s="7" t="s">
        <v>71</v>
      </c>
      <c r="Z35" s="49" t="s">
        <v>72</v>
      </c>
      <c r="AA35" s="5"/>
      <c r="AB35" s="58"/>
      <c r="AC35" s="2" t="s">
        <v>9</v>
      </c>
      <c r="AD35" s="7" t="s">
        <v>67</v>
      </c>
      <c r="AE35" s="2" t="s">
        <v>10</v>
      </c>
      <c r="AF35" s="7" t="s">
        <v>63</v>
      </c>
      <c r="AG35" s="2" t="s">
        <v>11</v>
      </c>
      <c r="AH35" s="7" t="s">
        <v>64</v>
      </c>
      <c r="AI35" s="2" t="s">
        <v>12</v>
      </c>
      <c r="AJ35" s="7" t="s">
        <v>68</v>
      </c>
      <c r="AK35" s="41">
        <v>0.25</v>
      </c>
      <c r="AM35" s="2"/>
      <c r="AN35" s="55" t="s">
        <v>89</v>
      </c>
      <c r="AO35" s="55"/>
      <c r="AP35" s="55"/>
      <c r="AQ35" s="55"/>
      <c r="AR35" s="55" t="s">
        <v>86</v>
      </c>
      <c r="AS35" s="55"/>
      <c r="AT35" s="55"/>
      <c r="AU35" s="55"/>
      <c r="AV35" s="55"/>
    </row>
    <row r="36" spans="2:48" x14ac:dyDescent="0.25">
      <c r="B36" s="2">
        <v>0</v>
      </c>
      <c r="C36" s="2">
        <v>0</v>
      </c>
      <c r="D36" s="2">
        <v>0</v>
      </c>
      <c r="E36" s="2">
        <v>0</v>
      </c>
      <c r="F36" s="2">
        <v>0</v>
      </c>
      <c r="G36" s="2">
        <f>SUM(C36:F36)</f>
        <v>0</v>
      </c>
      <c r="H36" s="2">
        <f>(G36/20)</f>
        <v>0</v>
      </c>
      <c r="I36" s="2">
        <v>0</v>
      </c>
      <c r="J36" s="2">
        <v>0</v>
      </c>
      <c r="K36" s="2">
        <v>0</v>
      </c>
      <c r="L36" s="2">
        <v>0</v>
      </c>
      <c r="M36" s="2">
        <f>SUM(I36:L36)</f>
        <v>0</v>
      </c>
      <c r="N36" s="2">
        <f>(M36/20)</f>
        <v>0</v>
      </c>
      <c r="O36" s="2">
        <v>0</v>
      </c>
      <c r="P36" s="2">
        <v>0</v>
      </c>
      <c r="Q36" s="2">
        <v>0</v>
      </c>
      <c r="R36" s="2">
        <v>1</v>
      </c>
      <c r="S36" s="2">
        <f>SUM(O36:R36)</f>
        <v>1</v>
      </c>
      <c r="T36" s="2">
        <f>(S36/20)</f>
        <v>0.05</v>
      </c>
      <c r="U36" s="2">
        <v>0</v>
      </c>
      <c r="V36" s="2">
        <v>0</v>
      </c>
      <c r="W36" s="2">
        <v>0</v>
      </c>
      <c r="X36" s="2">
        <v>0</v>
      </c>
      <c r="Y36" s="2">
        <f>SUM(U36:X36)</f>
        <v>0</v>
      </c>
      <c r="Z36" s="2">
        <f>(Y36/20)</f>
        <v>0</v>
      </c>
      <c r="AB36" s="2">
        <v>0</v>
      </c>
      <c r="AC36">
        <f>SUM($H$36:H36)</f>
        <v>0</v>
      </c>
      <c r="AD36">
        <f>(AC36/61.95)*100</f>
        <v>0</v>
      </c>
      <c r="AE36">
        <f>SUM(N$36:N36)</f>
        <v>0</v>
      </c>
      <c r="AF36">
        <f>(AE36/19.4)*100</f>
        <v>0</v>
      </c>
      <c r="AG36">
        <f>SUM($T$36:T36)</f>
        <v>0.05</v>
      </c>
      <c r="AH36">
        <f>(AG36/5.25)*100</f>
        <v>0.95238095238095244</v>
      </c>
      <c r="AI36">
        <f>SUM($Z$36:Z36)</f>
        <v>0</v>
      </c>
      <c r="AJ36">
        <f>(AI36/3.1)*100</f>
        <v>0</v>
      </c>
      <c r="AK36" s="42">
        <v>0.5</v>
      </c>
      <c r="AM36" s="2"/>
      <c r="AN36" s="56" t="s">
        <v>81</v>
      </c>
      <c r="AO36" s="56"/>
      <c r="AP36" s="56"/>
      <c r="AQ36" s="56"/>
      <c r="AR36" s="56" t="s">
        <v>82</v>
      </c>
      <c r="AS36" s="56"/>
      <c r="AT36" s="56"/>
      <c r="AU36" s="56"/>
      <c r="AV36" s="56"/>
    </row>
    <row r="37" spans="2:48" x14ac:dyDescent="0.25">
      <c r="B37" s="2">
        <v>1</v>
      </c>
      <c r="C37" s="2">
        <v>20</v>
      </c>
      <c r="D37" s="2">
        <v>0</v>
      </c>
      <c r="E37" s="2">
        <v>10</v>
      </c>
      <c r="F37" s="2">
        <v>0</v>
      </c>
      <c r="G37" s="2">
        <f t="shared" ref="G37:G60" si="12">SUM(C37:F37)</f>
        <v>30</v>
      </c>
      <c r="H37" s="2">
        <f t="shared" ref="H37:H60" si="13">(G37/20)</f>
        <v>1.5</v>
      </c>
      <c r="I37" s="2">
        <v>6</v>
      </c>
      <c r="J37" s="2">
        <v>3</v>
      </c>
      <c r="K37" s="2">
        <v>54</v>
      </c>
      <c r="L37" s="2">
        <v>2</v>
      </c>
      <c r="M37" s="2">
        <f t="shared" ref="M37:M60" si="14">SUM(I37:L37)</f>
        <v>65</v>
      </c>
      <c r="N37" s="2">
        <f t="shared" ref="N37:N60" si="15">(M37/20)</f>
        <v>3.25</v>
      </c>
      <c r="O37" s="2">
        <v>0</v>
      </c>
      <c r="P37" s="2">
        <v>0</v>
      </c>
      <c r="Q37" s="2">
        <v>0</v>
      </c>
      <c r="R37" s="2">
        <v>0</v>
      </c>
      <c r="S37" s="2">
        <f t="shared" ref="S37:S60" si="16">SUM(O37:R37)</f>
        <v>0</v>
      </c>
      <c r="T37" s="2">
        <f t="shared" ref="T37:T60" si="17">(S37/20)</f>
        <v>0</v>
      </c>
      <c r="U37" s="2">
        <v>4</v>
      </c>
      <c r="V37" s="2">
        <v>6</v>
      </c>
      <c r="W37" s="2">
        <v>6</v>
      </c>
      <c r="X37" s="2">
        <v>5</v>
      </c>
      <c r="Y37" s="2">
        <f t="shared" ref="Y37:Y60" si="18">SUM(U37:X37)</f>
        <v>21</v>
      </c>
      <c r="Z37" s="2">
        <f t="shared" ref="Z37:Z60" si="19">(Y37/20)</f>
        <v>1.05</v>
      </c>
      <c r="AB37" s="2">
        <v>1</v>
      </c>
      <c r="AC37">
        <f>SUM($H$36:H37)</f>
        <v>1.5</v>
      </c>
      <c r="AD37">
        <f t="shared" ref="AD37:AD60" si="20">(AC37/61.95)*100</f>
        <v>2.4213075060532687</v>
      </c>
      <c r="AE37">
        <f>SUM(N$36:N37)</f>
        <v>3.25</v>
      </c>
      <c r="AF37">
        <f t="shared" ref="AF37:AF60" si="21">(AE37/19.4)*100</f>
        <v>16.75257731958763</v>
      </c>
      <c r="AG37">
        <f>SUM($T$36:T37)</f>
        <v>0.05</v>
      </c>
      <c r="AH37">
        <f t="shared" ref="AH37:AH60" si="22">(AG37/5.25)*100</f>
        <v>0.95238095238095244</v>
      </c>
      <c r="AI37">
        <f>SUM($Z$36:Z37)</f>
        <v>1.05</v>
      </c>
      <c r="AJ37">
        <f t="shared" ref="AJ37:AJ60" si="23">(AI37/3.1)*100</f>
        <v>33.870967741935488</v>
      </c>
      <c r="AK37" s="43">
        <v>0.75</v>
      </c>
      <c r="AM37" s="45"/>
      <c r="AN37" s="46">
        <v>0.25</v>
      </c>
      <c r="AO37" s="46">
        <v>0.5</v>
      </c>
      <c r="AP37" s="46">
        <v>0.75</v>
      </c>
      <c r="AQ37" s="46">
        <v>0.95</v>
      </c>
      <c r="AR37" s="47"/>
      <c r="AS37" s="46">
        <v>0.25</v>
      </c>
      <c r="AT37" s="46">
        <v>0.5</v>
      </c>
      <c r="AU37" s="46">
        <v>0.75</v>
      </c>
      <c r="AV37" s="46">
        <v>0.95</v>
      </c>
    </row>
    <row r="38" spans="2:48" x14ac:dyDescent="0.25">
      <c r="B38" s="2">
        <v>2</v>
      </c>
      <c r="C38" s="2">
        <v>44</v>
      </c>
      <c r="D38" s="2">
        <v>0</v>
      </c>
      <c r="E38" s="2">
        <v>21</v>
      </c>
      <c r="F38" s="2">
        <v>0</v>
      </c>
      <c r="G38" s="2">
        <f t="shared" si="12"/>
        <v>65</v>
      </c>
      <c r="H38" s="2">
        <f t="shared" si="13"/>
        <v>3.25</v>
      </c>
      <c r="I38" s="2">
        <v>0</v>
      </c>
      <c r="J38" s="2">
        <v>0</v>
      </c>
      <c r="K38" s="2">
        <v>0</v>
      </c>
      <c r="L38" s="2">
        <v>0</v>
      </c>
      <c r="M38" s="2">
        <f t="shared" si="14"/>
        <v>0</v>
      </c>
      <c r="N38" s="2">
        <f t="shared" si="15"/>
        <v>0</v>
      </c>
      <c r="O38" s="2">
        <v>0</v>
      </c>
      <c r="P38" s="2">
        <v>0</v>
      </c>
      <c r="Q38" s="2">
        <v>0</v>
      </c>
      <c r="R38" s="2">
        <v>0</v>
      </c>
      <c r="S38" s="2">
        <f t="shared" si="16"/>
        <v>0</v>
      </c>
      <c r="T38" s="2">
        <f t="shared" si="17"/>
        <v>0</v>
      </c>
      <c r="U38" s="2">
        <v>0</v>
      </c>
      <c r="V38" s="2">
        <v>0</v>
      </c>
      <c r="W38" s="2">
        <v>0</v>
      </c>
      <c r="X38" s="2">
        <v>0</v>
      </c>
      <c r="Y38" s="2">
        <f t="shared" si="18"/>
        <v>0</v>
      </c>
      <c r="Z38" s="2">
        <f t="shared" si="19"/>
        <v>0</v>
      </c>
      <c r="AB38" s="2">
        <v>2</v>
      </c>
      <c r="AC38">
        <f>SUM($H$36:H38)</f>
        <v>4.75</v>
      </c>
      <c r="AD38">
        <f t="shared" si="20"/>
        <v>7.6674737691686836</v>
      </c>
      <c r="AE38">
        <f>SUM(N$36:N38)</f>
        <v>3.25</v>
      </c>
      <c r="AF38">
        <f t="shared" si="21"/>
        <v>16.75257731958763</v>
      </c>
      <c r="AG38">
        <f>SUM($T$36:T38)</f>
        <v>0.05</v>
      </c>
      <c r="AH38">
        <f t="shared" si="22"/>
        <v>0.95238095238095244</v>
      </c>
      <c r="AI38">
        <f>SUM($Z$36:Z38)</f>
        <v>1.05</v>
      </c>
      <c r="AJ38">
        <f t="shared" si="23"/>
        <v>33.870967741935488</v>
      </c>
      <c r="AK38" s="44">
        <v>0.95</v>
      </c>
      <c r="AM38" s="7" t="s">
        <v>9</v>
      </c>
      <c r="AN38" s="2">
        <v>7</v>
      </c>
      <c r="AO38" s="2">
        <v>14</v>
      </c>
      <c r="AP38" s="2">
        <v>21</v>
      </c>
      <c r="AQ38" s="2">
        <v>23</v>
      </c>
      <c r="AR38" s="7" t="s">
        <v>9</v>
      </c>
      <c r="AS38" s="2">
        <v>7</v>
      </c>
      <c r="AT38" s="2">
        <v>12</v>
      </c>
      <c r="AU38" s="2">
        <v>19</v>
      </c>
      <c r="AV38" s="2">
        <v>23</v>
      </c>
    </row>
    <row r="39" spans="2:48" x14ac:dyDescent="0.25">
      <c r="B39" s="2">
        <v>3</v>
      </c>
      <c r="C39" s="2">
        <v>5</v>
      </c>
      <c r="D39" s="2">
        <v>13</v>
      </c>
      <c r="E39" s="2">
        <v>32</v>
      </c>
      <c r="F39" s="2">
        <v>1</v>
      </c>
      <c r="G39" s="2">
        <f t="shared" si="12"/>
        <v>51</v>
      </c>
      <c r="H39" s="2">
        <f t="shared" si="13"/>
        <v>2.5499999999999998</v>
      </c>
      <c r="I39" s="2">
        <v>0</v>
      </c>
      <c r="J39" s="2">
        <v>0</v>
      </c>
      <c r="K39" s="2">
        <v>0</v>
      </c>
      <c r="L39" s="2">
        <v>0</v>
      </c>
      <c r="M39" s="2">
        <f t="shared" si="14"/>
        <v>0</v>
      </c>
      <c r="N39" s="2">
        <f t="shared" si="15"/>
        <v>0</v>
      </c>
      <c r="O39" s="2">
        <v>0</v>
      </c>
      <c r="P39" s="2">
        <v>3</v>
      </c>
      <c r="Q39" s="2">
        <v>0</v>
      </c>
      <c r="R39" s="2">
        <v>0</v>
      </c>
      <c r="S39" s="2">
        <f t="shared" si="16"/>
        <v>3</v>
      </c>
      <c r="T39" s="2">
        <f t="shared" si="17"/>
        <v>0.15</v>
      </c>
      <c r="U39" s="2">
        <v>0</v>
      </c>
      <c r="V39" s="2">
        <v>0</v>
      </c>
      <c r="W39" s="2">
        <v>0</v>
      </c>
      <c r="X39" s="2">
        <v>0</v>
      </c>
      <c r="Y39" s="2">
        <f t="shared" si="18"/>
        <v>0</v>
      </c>
      <c r="Z39" s="2">
        <f t="shared" si="19"/>
        <v>0</v>
      </c>
      <c r="AB39" s="2">
        <v>3</v>
      </c>
      <c r="AC39">
        <f>SUM($H$36:H39)</f>
        <v>7.3</v>
      </c>
      <c r="AD39">
        <f t="shared" si="20"/>
        <v>11.78369652945924</v>
      </c>
      <c r="AE39">
        <f>SUM(N$36:N39)</f>
        <v>3.25</v>
      </c>
      <c r="AF39">
        <f t="shared" si="21"/>
        <v>16.75257731958763</v>
      </c>
      <c r="AG39">
        <f>SUM($T$36:T39)</f>
        <v>0.2</v>
      </c>
      <c r="AH39">
        <f t="shared" si="22"/>
        <v>3.8095238095238098</v>
      </c>
      <c r="AI39">
        <f>SUM($Z$36:Z39)</f>
        <v>1.05</v>
      </c>
      <c r="AJ39">
        <f t="shared" si="23"/>
        <v>33.870967741935488</v>
      </c>
      <c r="AM39" s="7" t="s">
        <v>10</v>
      </c>
      <c r="AN39" s="2">
        <v>3</v>
      </c>
      <c r="AO39" s="2">
        <v>16</v>
      </c>
      <c r="AP39" s="2">
        <v>21</v>
      </c>
      <c r="AQ39" s="2">
        <v>24</v>
      </c>
      <c r="AR39" s="7" t="s">
        <v>10</v>
      </c>
      <c r="AS39" s="2">
        <v>6</v>
      </c>
      <c r="AT39" s="2">
        <v>15</v>
      </c>
      <c r="AU39" s="2">
        <v>21</v>
      </c>
      <c r="AV39" s="2">
        <v>24</v>
      </c>
    </row>
    <row r="40" spans="2:48" x14ac:dyDescent="0.25">
      <c r="B40" s="2">
        <v>4</v>
      </c>
      <c r="C40" s="2">
        <v>9</v>
      </c>
      <c r="D40" s="2">
        <v>23</v>
      </c>
      <c r="E40" s="2">
        <v>22</v>
      </c>
      <c r="F40" s="2">
        <v>0</v>
      </c>
      <c r="G40" s="2">
        <f t="shared" si="12"/>
        <v>54</v>
      </c>
      <c r="H40" s="2">
        <f t="shared" si="13"/>
        <v>2.7</v>
      </c>
      <c r="I40" s="2">
        <v>2</v>
      </c>
      <c r="J40" s="2">
        <v>16</v>
      </c>
      <c r="K40" s="2">
        <v>0</v>
      </c>
      <c r="L40" s="2">
        <v>4</v>
      </c>
      <c r="M40" s="2">
        <f t="shared" si="14"/>
        <v>22</v>
      </c>
      <c r="N40" s="2">
        <f t="shared" si="15"/>
        <v>1.1000000000000001</v>
      </c>
      <c r="O40" s="2">
        <v>0</v>
      </c>
      <c r="P40" s="2">
        <v>0</v>
      </c>
      <c r="Q40" s="2">
        <v>0</v>
      </c>
      <c r="R40" s="2">
        <v>0</v>
      </c>
      <c r="S40" s="2">
        <f t="shared" si="16"/>
        <v>0</v>
      </c>
      <c r="T40" s="2">
        <f t="shared" si="17"/>
        <v>0</v>
      </c>
      <c r="U40" s="2">
        <v>0</v>
      </c>
      <c r="V40" s="2">
        <v>0</v>
      </c>
      <c r="W40" s="2">
        <v>0</v>
      </c>
      <c r="X40" s="2">
        <v>0</v>
      </c>
      <c r="Y40" s="2">
        <f t="shared" si="18"/>
        <v>0</v>
      </c>
      <c r="Z40" s="2">
        <f t="shared" si="19"/>
        <v>0</v>
      </c>
      <c r="AB40" s="2">
        <v>4</v>
      </c>
      <c r="AC40">
        <f>SUM($H$36:H40)</f>
        <v>10</v>
      </c>
      <c r="AD40">
        <f t="shared" si="20"/>
        <v>16.142050040355123</v>
      </c>
      <c r="AE40">
        <f>SUM(N$36:N40)</f>
        <v>4.3499999999999996</v>
      </c>
      <c r="AF40">
        <f t="shared" si="21"/>
        <v>22.422680412371136</v>
      </c>
      <c r="AG40">
        <f>SUM($T$36:T40)</f>
        <v>0.2</v>
      </c>
      <c r="AH40">
        <f t="shared" si="22"/>
        <v>3.8095238095238098</v>
      </c>
      <c r="AI40">
        <f>SUM($Z$36:Z40)</f>
        <v>1.05</v>
      </c>
      <c r="AJ40">
        <f t="shared" si="23"/>
        <v>33.870967741935488</v>
      </c>
      <c r="AM40" s="7" t="s">
        <v>11</v>
      </c>
      <c r="AN40" s="2">
        <v>13</v>
      </c>
      <c r="AO40" s="2">
        <v>19</v>
      </c>
      <c r="AP40" s="2">
        <v>20</v>
      </c>
      <c r="AQ40" s="2">
        <v>23</v>
      </c>
      <c r="AR40" s="7" t="s">
        <v>11</v>
      </c>
      <c r="AS40" s="2">
        <v>9</v>
      </c>
      <c r="AT40" s="2">
        <v>20</v>
      </c>
      <c r="AU40" s="2">
        <v>23</v>
      </c>
      <c r="AV40" s="2">
        <v>24</v>
      </c>
    </row>
    <row r="41" spans="2:48" x14ac:dyDescent="0.25">
      <c r="B41" s="2">
        <v>5</v>
      </c>
      <c r="C41" s="2">
        <v>24</v>
      </c>
      <c r="D41" s="2">
        <v>0</v>
      </c>
      <c r="E41" s="2">
        <v>0</v>
      </c>
      <c r="F41" s="2">
        <v>0</v>
      </c>
      <c r="G41" s="2">
        <f t="shared" si="12"/>
        <v>24</v>
      </c>
      <c r="H41" s="2">
        <f t="shared" si="13"/>
        <v>1.2</v>
      </c>
      <c r="I41" s="2">
        <v>0</v>
      </c>
      <c r="J41" s="2">
        <v>7</v>
      </c>
      <c r="K41" s="2">
        <v>0</v>
      </c>
      <c r="L41" s="2">
        <v>0</v>
      </c>
      <c r="M41" s="2">
        <f t="shared" si="14"/>
        <v>7</v>
      </c>
      <c r="N41" s="2">
        <f t="shared" si="15"/>
        <v>0.35</v>
      </c>
      <c r="O41" s="2">
        <v>0</v>
      </c>
      <c r="P41" s="2">
        <v>0</v>
      </c>
      <c r="Q41" s="2">
        <v>0</v>
      </c>
      <c r="R41" s="2">
        <v>0</v>
      </c>
      <c r="S41" s="2">
        <f t="shared" si="16"/>
        <v>0</v>
      </c>
      <c r="T41" s="2">
        <f t="shared" si="17"/>
        <v>0</v>
      </c>
      <c r="U41" s="2">
        <v>0</v>
      </c>
      <c r="V41" s="2">
        <v>0</v>
      </c>
      <c r="W41" s="2">
        <v>0</v>
      </c>
      <c r="X41" s="2">
        <v>0</v>
      </c>
      <c r="Y41" s="2">
        <f t="shared" si="18"/>
        <v>0</v>
      </c>
      <c r="Z41" s="2">
        <f t="shared" si="19"/>
        <v>0</v>
      </c>
      <c r="AB41" s="2">
        <v>5</v>
      </c>
      <c r="AC41">
        <f>SUM($H$36:H41)</f>
        <v>11.2</v>
      </c>
      <c r="AD41">
        <f t="shared" si="20"/>
        <v>18.079096045197737</v>
      </c>
      <c r="AE41">
        <f>SUM(N$36:N41)</f>
        <v>4.6999999999999993</v>
      </c>
      <c r="AF41">
        <f t="shared" si="21"/>
        <v>24.226804123711336</v>
      </c>
      <c r="AG41">
        <f>SUM($T$36:T41)</f>
        <v>0.2</v>
      </c>
      <c r="AH41">
        <f t="shared" si="22"/>
        <v>3.8095238095238098</v>
      </c>
      <c r="AI41">
        <f>SUM($Z$36:Z41)</f>
        <v>1.05</v>
      </c>
      <c r="AJ41" s="35">
        <f t="shared" si="23"/>
        <v>33.870967741935488</v>
      </c>
      <c r="AM41" s="7" t="s">
        <v>12</v>
      </c>
      <c r="AN41" s="2">
        <v>7</v>
      </c>
      <c r="AO41" s="2">
        <v>11</v>
      </c>
      <c r="AP41" s="2">
        <v>21</v>
      </c>
      <c r="AQ41" s="2">
        <v>24</v>
      </c>
      <c r="AR41" s="7" t="s">
        <v>12</v>
      </c>
      <c r="AS41" s="2">
        <v>5</v>
      </c>
      <c r="AT41" s="2">
        <v>8</v>
      </c>
      <c r="AU41" s="2">
        <v>12</v>
      </c>
      <c r="AV41" s="2">
        <v>24</v>
      </c>
    </row>
    <row r="42" spans="2:48" x14ac:dyDescent="0.25">
      <c r="B42" s="2">
        <v>6</v>
      </c>
      <c r="C42" s="2">
        <v>5</v>
      </c>
      <c r="D42" s="2">
        <v>0</v>
      </c>
      <c r="E42" s="2">
        <v>25</v>
      </c>
      <c r="F42" s="2">
        <v>0</v>
      </c>
      <c r="G42" s="2">
        <f t="shared" si="12"/>
        <v>30</v>
      </c>
      <c r="H42" s="2">
        <f t="shared" si="13"/>
        <v>1.5</v>
      </c>
      <c r="I42" s="2">
        <v>1</v>
      </c>
      <c r="J42" s="2">
        <v>25</v>
      </c>
      <c r="K42" s="2">
        <v>4</v>
      </c>
      <c r="L42" s="2">
        <v>6</v>
      </c>
      <c r="M42" s="2">
        <f t="shared" si="14"/>
        <v>36</v>
      </c>
      <c r="N42" s="2">
        <f t="shared" si="15"/>
        <v>1.8</v>
      </c>
      <c r="O42" s="2">
        <v>2</v>
      </c>
      <c r="P42" s="2">
        <v>0</v>
      </c>
      <c r="Q42" s="2">
        <v>0</v>
      </c>
      <c r="R42" s="2">
        <v>0</v>
      </c>
      <c r="S42" s="2">
        <f t="shared" si="16"/>
        <v>2</v>
      </c>
      <c r="T42" s="2">
        <f t="shared" si="17"/>
        <v>0.1</v>
      </c>
      <c r="U42" s="2">
        <v>1</v>
      </c>
      <c r="V42" s="2">
        <v>0</v>
      </c>
      <c r="W42" s="2">
        <v>1</v>
      </c>
      <c r="X42" s="2">
        <v>0</v>
      </c>
      <c r="Y42" s="2">
        <f t="shared" si="18"/>
        <v>2</v>
      </c>
      <c r="Z42" s="2">
        <f t="shared" si="19"/>
        <v>0.1</v>
      </c>
      <c r="AB42" s="2">
        <v>6</v>
      </c>
      <c r="AC42">
        <f>SUM($H$36:H42)</f>
        <v>12.7</v>
      </c>
      <c r="AD42">
        <f t="shared" si="20"/>
        <v>20.500403551251008</v>
      </c>
      <c r="AE42">
        <f>SUM(N$36:N42)</f>
        <v>6.4999999999999991</v>
      </c>
      <c r="AF42" s="35">
        <f t="shared" si="21"/>
        <v>33.505154639175252</v>
      </c>
      <c r="AG42">
        <f>SUM($T$36:T42)</f>
        <v>0.30000000000000004</v>
      </c>
      <c r="AH42">
        <f t="shared" si="22"/>
        <v>5.7142857142857144</v>
      </c>
      <c r="AI42">
        <f>SUM($Z$36:Z42)</f>
        <v>1.1500000000000001</v>
      </c>
      <c r="AJ42">
        <f t="shared" si="23"/>
        <v>37.096774193548391</v>
      </c>
    </row>
    <row r="43" spans="2:48" x14ac:dyDescent="0.25">
      <c r="B43" s="2">
        <v>7</v>
      </c>
      <c r="C43" s="2">
        <v>21</v>
      </c>
      <c r="D43" s="2">
        <v>0</v>
      </c>
      <c r="E43" s="2">
        <v>35</v>
      </c>
      <c r="F43" s="2">
        <v>25</v>
      </c>
      <c r="G43" s="2">
        <f t="shared" si="12"/>
        <v>81</v>
      </c>
      <c r="H43" s="2">
        <f t="shared" si="13"/>
        <v>4.05</v>
      </c>
      <c r="I43" s="2">
        <v>0</v>
      </c>
      <c r="J43" s="2">
        <v>0</v>
      </c>
      <c r="K43" s="2">
        <v>1</v>
      </c>
      <c r="L43" s="2">
        <v>0</v>
      </c>
      <c r="M43" s="2">
        <f t="shared" si="14"/>
        <v>1</v>
      </c>
      <c r="N43" s="2">
        <f t="shared" si="15"/>
        <v>0.05</v>
      </c>
      <c r="O43" s="2">
        <v>3</v>
      </c>
      <c r="P43" s="2">
        <v>0</v>
      </c>
      <c r="Q43" s="2">
        <v>0</v>
      </c>
      <c r="R43" s="2">
        <v>0</v>
      </c>
      <c r="S43" s="2">
        <f t="shared" si="16"/>
        <v>3</v>
      </c>
      <c r="T43" s="2">
        <f t="shared" si="17"/>
        <v>0.15</v>
      </c>
      <c r="U43" s="2">
        <v>0</v>
      </c>
      <c r="V43" s="2">
        <v>0</v>
      </c>
      <c r="W43" s="2">
        <v>3</v>
      </c>
      <c r="X43" s="2">
        <v>0</v>
      </c>
      <c r="Y43" s="2">
        <f t="shared" si="18"/>
        <v>3</v>
      </c>
      <c r="Z43" s="2">
        <f t="shared" si="19"/>
        <v>0.15</v>
      </c>
      <c r="AB43" s="2">
        <v>7</v>
      </c>
      <c r="AC43">
        <f>SUM($H$36:H43)</f>
        <v>16.75</v>
      </c>
      <c r="AD43" s="35">
        <f t="shared" si="20"/>
        <v>27.037933817594833</v>
      </c>
      <c r="AE43">
        <f>SUM(N$36:N43)</f>
        <v>6.5499999999999989</v>
      </c>
      <c r="AF43">
        <f t="shared" si="21"/>
        <v>33.762886597938142</v>
      </c>
      <c r="AG43">
        <f>SUM($T$36:T43)</f>
        <v>0.45000000000000007</v>
      </c>
      <c r="AH43">
        <f t="shared" si="22"/>
        <v>8.571428571428573</v>
      </c>
      <c r="AI43">
        <f>SUM($Z$36:Z43)</f>
        <v>1.3</v>
      </c>
      <c r="AJ43">
        <f t="shared" si="23"/>
        <v>41.935483870967744</v>
      </c>
    </row>
    <row r="44" spans="2:48" x14ac:dyDescent="0.25">
      <c r="B44" s="2">
        <v>8</v>
      </c>
      <c r="C44" s="2">
        <v>39</v>
      </c>
      <c r="D44" s="2">
        <v>2</v>
      </c>
      <c r="E44" s="2">
        <v>13</v>
      </c>
      <c r="F44" s="2">
        <v>0</v>
      </c>
      <c r="G44" s="2">
        <f t="shared" si="12"/>
        <v>54</v>
      </c>
      <c r="H44" s="2">
        <f t="shared" si="13"/>
        <v>2.7</v>
      </c>
      <c r="I44" s="2">
        <v>0</v>
      </c>
      <c r="J44" s="2">
        <v>0</v>
      </c>
      <c r="K44" s="2">
        <v>0</v>
      </c>
      <c r="L44" s="2">
        <v>11</v>
      </c>
      <c r="M44" s="2">
        <f t="shared" si="14"/>
        <v>11</v>
      </c>
      <c r="N44" s="2">
        <f t="shared" si="15"/>
        <v>0.55000000000000004</v>
      </c>
      <c r="O44" s="2">
        <v>0</v>
      </c>
      <c r="P44" s="2">
        <v>2</v>
      </c>
      <c r="Q44" s="2">
        <v>2</v>
      </c>
      <c r="R44" s="2">
        <v>0</v>
      </c>
      <c r="S44" s="2">
        <f t="shared" si="16"/>
        <v>4</v>
      </c>
      <c r="T44" s="2">
        <f t="shared" si="17"/>
        <v>0.2</v>
      </c>
      <c r="U44" s="2">
        <v>0</v>
      </c>
      <c r="V44" s="2">
        <v>5</v>
      </c>
      <c r="W44" s="2">
        <v>4</v>
      </c>
      <c r="X44" s="2">
        <v>0</v>
      </c>
      <c r="Y44" s="2">
        <f t="shared" si="18"/>
        <v>9</v>
      </c>
      <c r="Z44" s="2">
        <f t="shared" si="19"/>
        <v>0.45</v>
      </c>
      <c r="AB44" s="2">
        <v>8</v>
      </c>
      <c r="AC44">
        <f>SUM($H$36:H44)</f>
        <v>19.45</v>
      </c>
      <c r="AD44">
        <f t="shared" si="20"/>
        <v>31.396287328490718</v>
      </c>
      <c r="AE44">
        <f>SUM(N$36:N44)</f>
        <v>7.0999999999999988</v>
      </c>
      <c r="AF44">
        <f t="shared" si="21"/>
        <v>36.597938144329895</v>
      </c>
      <c r="AG44">
        <f>SUM($T$36:T44)</f>
        <v>0.65000000000000013</v>
      </c>
      <c r="AH44">
        <f t="shared" si="22"/>
        <v>12.380952380952385</v>
      </c>
      <c r="AI44">
        <f>SUM($Z$36:Z44)</f>
        <v>1.75</v>
      </c>
      <c r="AJ44" s="36">
        <f t="shared" si="23"/>
        <v>56.451612903225801</v>
      </c>
    </row>
    <row r="45" spans="2:48" x14ac:dyDescent="0.25">
      <c r="B45" s="2">
        <v>9</v>
      </c>
      <c r="C45" s="2">
        <v>11</v>
      </c>
      <c r="D45" s="2">
        <v>16</v>
      </c>
      <c r="E45" s="2">
        <v>24</v>
      </c>
      <c r="F45" s="2">
        <v>19</v>
      </c>
      <c r="G45" s="2">
        <f t="shared" si="12"/>
        <v>70</v>
      </c>
      <c r="H45" s="2">
        <f t="shared" si="13"/>
        <v>3.5</v>
      </c>
      <c r="I45" s="2">
        <v>0</v>
      </c>
      <c r="J45" s="2">
        <v>0</v>
      </c>
      <c r="K45" s="2">
        <v>0</v>
      </c>
      <c r="L45" s="2">
        <v>0</v>
      </c>
      <c r="M45" s="2">
        <f t="shared" si="14"/>
        <v>0</v>
      </c>
      <c r="N45" s="2">
        <f t="shared" si="15"/>
        <v>0</v>
      </c>
      <c r="O45" s="2">
        <v>15</v>
      </c>
      <c r="P45" s="2">
        <v>0</v>
      </c>
      <c r="Q45" s="2">
        <v>0</v>
      </c>
      <c r="R45" s="2">
        <v>9</v>
      </c>
      <c r="S45" s="2">
        <f t="shared" si="16"/>
        <v>24</v>
      </c>
      <c r="T45" s="2">
        <f t="shared" si="17"/>
        <v>1.2</v>
      </c>
      <c r="U45" s="2">
        <v>0</v>
      </c>
      <c r="V45" s="2">
        <v>4</v>
      </c>
      <c r="W45" s="2">
        <v>4</v>
      </c>
      <c r="X45" s="2">
        <v>0</v>
      </c>
      <c r="Y45" s="2">
        <f t="shared" si="18"/>
        <v>8</v>
      </c>
      <c r="Z45" s="2">
        <f t="shared" si="19"/>
        <v>0.4</v>
      </c>
      <c r="AB45" s="2">
        <v>9</v>
      </c>
      <c r="AC45">
        <f>SUM($H$36:H45)</f>
        <v>22.95</v>
      </c>
      <c r="AD45">
        <f t="shared" si="20"/>
        <v>37.046004842615012</v>
      </c>
      <c r="AE45">
        <f>SUM(N$36:N45)</f>
        <v>7.0999999999999988</v>
      </c>
      <c r="AF45">
        <f t="shared" si="21"/>
        <v>36.597938144329895</v>
      </c>
      <c r="AG45">
        <f>SUM($T$36:T45)</f>
        <v>1.85</v>
      </c>
      <c r="AH45" s="35">
        <f t="shared" si="22"/>
        <v>35.238095238095241</v>
      </c>
      <c r="AI45">
        <f>SUM($Z$36:Z45)</f>
        <v>2.15</v>
      </c>
      <c r="AJ45">
        <f t="shared" si="23"/>
        <v>69.354838709677409</v>
      </c>
    </row>
    <row r="46" spans="2:48" x14ac:dyDescent="0.25">
      <c r="B46" s="2">
        <v>10</v>
      </c>
      <c r="C46" s="2">
        <v>22</v>
      </c>
      <c r="D46" s="2">
        <v>1</v>
      </c>
      <c r="E46" s="2">
        <v>22</v>
      </c>
      <c r="F46" s="2">
        <v>0</v>
      </c>
      <c r="G46" s="2">
        <f t="shared" si="12"/>
        <v>45</v>
      </c>
      <c r="H46" s="2">
        <f t="shared" si="13"/>
        <v>2.25</v>
      </c>
      <c r="I46" s="2">
        <v>5</v>
      </c>
      <c r="J46" s="2">
        <v>0</v>
      </c>
      <c r="K46" s="2">
        <v>0</v>
      </c>
      <c r="L46" s="2">
        <v>5</v>
      </c>
      <c r="M46" s="2">
        <f t="shared" si="14"/>
        <v>10</v>
      </c>
      <c r="N46" s="2">
        <f t="shared" si="15"/>
        <v>0.5</v>
      </c>
      <c r="O46" s="2">
        <v>0</v>
      </c>
      <c r="P46" s="2">
        <v>0</v>
      </c>
      <c r="Q46" s="2">
        <v>0</v>
      </c>
      <c r="R46" s="2">
        <v>0</v>
      </c>
      <c r="S46" s="2">
        <f t="shared" si="16"/>
        <v>0</v>
      </c>
      <c r="T46" s="2">
        <f t="shared" si="17"/>
        <v>0</v>
      </c>
      <c r="U46" s="2">
        <v>0</v>
      </c>
      <c r="V46" s="2">
        <v>0</v>
      </c>
      <c r="W46" s="2">
        <v>0</v>
      </c>
      <c r="X46" s="2">
        <v>0</v>
      </c>
      <c r="Y46" s="2">
        <f t="shared" si="18"/>
        <v>0</v>
      </c>
      <c r="Z46" s="2">
        <f t="shared" si="19"/>
        <v>0</v>
      </c>
      <c r="AB46" s="2">
        <v>10</v>
      </c>
      <c r="AC46">
        <f>SUM($H$36:H46)</f>
        <v>25.2</v>
      </c>
      <c r="AD46">
        <f t="shared" si="20"/>
        <v>40.677966101694913</v>
      </c>
      <c r="AE46">
        <f>SUM(N$36:N46)</f>
        <v>7.5999999999999988</v>
      </c>
      <c r="AF46">
        <f t="shared" si="21"/>
        <v>39.175257731958759</v>
      </c>
      <c r="AG46">
        <f>SUM($T$36:T46)</f>
        <v>1.85</v>
      </c>
      <c r="AH46">
        <f t="shared" si="22"/>
        <v>35.238095238095241</v>
      </c>
      <c r="AI46">
        <f>SUM($Z$36:Z46)</f>
        <v>2.15</v>
      </c>
      <c r="AJ46">
        <f t="shared" si="23"/>
        <v>69.354838709677409</v>
      </c>
    </row>
    <row r="47" spans="2:48" x14ac:dyDescent="0.25">
      <c r="B47" s="2">
        <v>11</v>
      </c>
      <c r="C47" s="2">
        <v>7</v>
      </c>
      <c r="D47" s="2">
        <v>0</v>
      </c>
      <c r="E47" s="2">
        <v>21</v>
      </c>
      <c r="F47" s="2">
        <v>2</v>
      </c>
      <c r="G47" s="2">
        <f t="shared" si="12"/>
        <v>30</v>
      </c>
      <c r="H47" s="2">
        <f t="shared" si="13"/>
        <v>1.5</v>
      </c>
      <c r="I47" s="2">
        <v>0</v>
      </c>
      <c r="J47" s="2">
        <v>0</v>
      </c>
      <c r="K47" s="2">
        <v>0</v>
      </c>
      <c r="L47" s="2">
        <v>0</v>
      </c>
      <c r="M47" s="2">
        <f t="shared" si="14"/>
        <v>0</v>
      </c>
      <c r="N47" s="2">
        <f t="shared" si="15"/>
        <v>0</v>
      </c>
      <c r="O47" s="2">
        <v>4</v>
      </c>
      <c r="P47" s="2">
        <v>0</v>
      </c>
      <c r="Q47" s="2">
        <v>0</v>
      </c>
      <c r="R47" s="2">
        <v>0</v>
      </c>
      <c r="S47" s="2">
        <f t="shared" si="16"/>
        <v>4</v>
      </c>
      <c r="T47" s="2">
        <f t="shared" si="17"/>
        <v>0.2</v>
      </c>
      <c r="U47" s="2">
        <v>0</v>
      </c>
      <c r="V47" s="2">
        <v>2</v>
      </c>
      <c r="W47" s="2">
        <v>0</v>
      </c>
      <c r="X47" s="2">
        <v>0</v>
      </c>
      <c r="Y47" s="2">
        <f t="shared" si="18"/>
        <v>2</v>
      </c>
      <c r="Z47" s="2">
        <f t="shared" si="19"/>
        <v>0.1</v>
      </c>
      <c r="AB47" s="2">
        <v>11</v>
      </c>
      <c r="AC47">
        <f>SUM($H$36:H47)</f>
        <v>26.7</v>
      </c>
      <c r="AD47">
        <f t="shared" si="20"/>
        <v>43.099273607748181</v>
      </c>
      <c r="AE47">
        <f>SUM(N$36:N47)</f>
        <v>7.5999999999999988</v>
      </c>
      <c r="AF47">
        <f t="shared" si="21"/>
        <v>39.175257731958759</v>
      </c>
      <c r="AG47">
        <f>SUM($T$36:T47)</f>
        <v>2.0500000000000003</v>
      </c>
      <c r="AH47">
        <f t="shared" si="22"/>
        <v>39.047619047619051</v>
      </c>
      <c r="AI47">
        <f>SUM($Z$36:Z47)</f>
        <v>2.25</v>
      </c>
      <c r="AJ47">
        <f t="shared" si="23"/>
        <v>72.58064516129032</v>
      </c>
    </row>
    <row r="48" spans="2:48" x14ac:dyDescent="0.25">
      <c r="B48" s="2">
        <v>12</v>
      </c>
      <c r="C48" s="2">
        <v>31</v>
      </c>
      <c r="D48" s="2">
        <v>24</v>
      </c>
      <c r="E48" s="2">
        <v>32</v>
      </c>
      <c r="F48" s="2">
        <v>2</v>
      </c>
      <c r="G48" s="2">
        <f t="shared" si="12"/>
        <v>89</v>
      </c>
      <c r="H48" s="2">
        <f t="shared" si="13"/>
        <v>4.45</v>
      </c>
      <c r="I48" s="2">
        <v>0</v>
      </c>
      <c r="J48" s="2">
        <v>0</v>
      </c>
      <c r="K48" s="2">
        <v>8</v>
      </c>
      <c r="L48" s="2">
        <v>0</v>
      </c>
      <c r="M48" s="2">
        <f t="shared" si="14"/>
        <v>8</v>
      </c>
      <c r="N48" s="2">
        <f t="shared" si="15"/>
        <v>0.4</v>
      </c>
      <c r="O48" s="2">
        <v>1</v>
      </c>
      <c r="P48" s="2">
        <v>0</v>
      </c>
      <c r="Q48" s="2">
        <v>0</v>
      </c>
      <c r="R48" s="2">
        <v>0</v>
      </c>
      <c r="S48" s="2">
        <f t="shared" si="16"/>
        <v>1</v>
      </c>
      <c r="T48" s="2">
        <f t="shared" si="17"/>
        <v>0.05</v>
      </c>
      <c r="U48" s="2">
        <v>2</v>
      </c>
      <c r="V48" s="2">
        <v>0</v>
      </c>
      <c r="W48" s="2">
        <v>0</v>
      </c>
      <c r="X48" s="2">
        <v>0</v>
      </c>
      <c r="Y48" s="2">
        <f t="shared" si="18"/>
        <v>2</v>
      </c>
      <c r="Z48" s="2">
        <f t="shared" si="19"/>
        <v>0.1</v>
      </c>
      <c r="AB48" s="2">
        <v>12</v>
      </c>
      <c r="AC48">
        <f>SUM($H$36:H48)</f>
        <v>31.15</v>
      </c>
      <c r="AD48" s="36">
        <f t="shared" si="20"/>
        <v>50.282485875706207</v>
      </c>
      <c r="AE48">
        <f>SUM(N$36:N48)</f>
        <v>7.9999999999999991</v>
      </c>
      <c r="AF48">
        <f t="shared" si="21"/>
        <v>41.237113402061851</v>
      </c>
      <c r="AG48">
        <f>SUM($T$36:T48)</f>
        <v>2.1</v>
      </c>
      <c r="AH48">
        <f t="shared" si="22"/>
        <v>40</v>
      </c>
      <c r="AI48">
        <f>SUM($Z$36:Z48)</f>
        <v>2.35</v>
      </c>
      <c r="AJ48" s="37">
        <f t="shared" si="23"/>
        <v>75.806451612903231</v>
      </c>
    </row>
    <row r="49" spans="2:36" x14ac:dyDescent="0.25">
      <c r="B49" s="2">
        <v>13</v>
      </c>
      <c r="C49" s="2">
        <v>53</v>
      </c>
      <c r="D49" s="2">
        <v>2</v>
      </c>
      <c r="E49" s="2">
        <v>10</v>
      </c>
      <c r="F49" s="2">
        <v>0</v>
      </c>
      <c r="G49" s="2">
        <f t="shared" si="12"/>
        <v>65</v>
      </c>
      <c r="H49" s="2">
        <f t="shared" si="13"/>
        <v>3.25</v>
      </c>
      <c r="I49" s="2">
        <v>0</v>
      </c>
      <c r="J49" s="2">
        <v>0</v>
      </c>
      <c r="K49" s="2">
        <v>15</v>
      </c>
      <c r="L49" s="2">
        <v>1</v>
      </c>
      <c r="M49" s="2">
        <f t="shared" si="14"/>
        <v>16</v>
      </c>
      <c r="N49" s="2">
        <f t="shared" si="15"/>
        <v>0.8</v>
      </c>
      <c r="O49" s="2">
        <v>3</v>
      </c>
      <c r="P49" s="2">
        <v>4</v>
      </c>
      <c r="Q49" s="2">
        <v>0</v>
      </c>
      <c r="R49" s="2">
        <v>0</v>
      </c>
      <c r="S49" s="2">
        <f t="shared" si="16"/>
        <v>7</v>
      </c>
      <c r="T49" s="2">
        <f t="shared" si="17"/>
        <v>0.35</v>
      </c>
      <c r="U49" s="2">
        <v>0</v>
      </c>
      <c r="V49" s="2">
        <v>0</v>
      </c>
      <c r="W49" s="2">
        <v>0</v>
      </c>
      <c r="X49" s="2">
        <v>0</v>
      </c>
      <c r="Y49" s="2">
        <f t="shared" si="18"/>
        <v>0</v>
      </c>
      <c r="Z49" s="2">
        <f t="shared" si="19"/>
        <v>0</v>
      </c>
      <c r="AB49" s="2">
        <v>13</v>
      </c>
      <c r="AC49">
        <f>SUM($H$36:H49)</f>
        <v>34.4</v>
      </c>
      <c r="AD49">
        <f t="shared" si="20"/>
        <v>55.52865213882162</v>
      </c>
      <c r="AE49">
        <f>SUM(N$36:N49)</f>
        <v>8.7999999999999989</v>
      </c>
      <c r="AF49">
        <f t="shared" si="21"/>
        <v>45.360824742268044</v>
      </c>
      <c r="AG49">
        <f>SUM($T$36:T49)</f>
        <v>2.4500000000000002</v>
      </c>
      <c r="AH49">
        <f t="shared" si="22"/>
        <v>46.666666666666664</v>
      </c>
      <c r="AI49">
        <f>SUM($Z$36:Z49)</f>
        <v>2.35</v>
      </c>
      <c r="AJ49">
        <f t="shared" si="23"/>
        <v>75.806451612903231</v>
      </c>
    </row>
    <row r="50" spans="2:36" x14ac:dyDescent="0.25">
      <c r="B50" s="2">
        <v>14</v>
      </c>
      <c r="C50" s="2">
        <v>1</v>
      </c>
      <c r="D50" s="2">
        <v>0</v>
      </c>
      <c r="E50" s="2">
        <v>13</v>
      </c>
      <c r="F50" s="2">
        <v>2</v>
      </c>
      <c r="G50" s="2">
        <f t="shared" si="12"/>
        <v>16</v>
      </c>
      <c r="H50" s="2">
        <f t="shared" si="13"/>
        <v>0.8</v>
      </c>
      <c r="I50" s="2">
        <v>0</v>
      </c>
      <c r="J50" s="2">
        <v>0</v>
      </c>
      <c r="K50" s="2">
        <v>0</v>
      </c>
      <c r="L50" s="2">
        <v>3</v>
      </c>
      <c r="M50" s="2">
        <f t="shared" si="14"/>
        <v>3</v>
      </c>
      <c r="N50" s="2">
        <f t="shared" si="15"/>
        <v>0.15</v>
      </c>
      <c r="O50" s="2">
        <v>0</v>
      </c>
      <c r="P50" s="2">
        <v>0</v>
      </c>
      <c r="Q50" s="2">
        <v>0</v>
      </c>
      <c r="R50" s="2">
        <v>0</v>
      </c>
      <c r="S50" s="2">
        <f t="shared" si="16"/>
        <v>0</v>
      </c>
      <c r="T50" s="2">
        <f t="shared" si="17"/>
        <v>0</v>
      </c>
      <c r="U50" s="2">
        <v>0</v>
      </c>
      <c r="V50" s="2">
        <v>0</v>
      </c>
      <c r="W50" s="2">
        <v>2</v>
      </c>
      <c r="X50" s="2">
        <v>0</v>
      </c>
      <c r="Y50" s="2">
        <f t="shared" si="18"/>
        <v>2</v>
      </c>
      <c r="Z50" s="2">
        <f t="shared" si="19"/>
        <v>0.1</v>
      </c>
      <c r="AB50" s="2">
        <v>14</v>
      </c>
      <c r="AC50">
        <f>SUM($H$36:H50)</f>
        <v>35.199999999999996</v>
      </c>
      <c r="AD50">
        <f t="shared" si="20"/>
        <v>56.820016142050036</v>
      </c>
      <c r="AE50">
        <f>SUM(N$36:N50)</f>
        <v>8.9499999999999993</v>
      </c>
      <c r="AF50">
        <f t="shared" si="21"/>
        <v>46.134020618556697</v>
      </c>
      <c r="AG50">
        <f>SUM($T$36:T50)</f>
        <v>2.4500000000000002</v>
      </c>
      <c r="AH50">
        <f t="shared" si="22"/>
        <v>46.666666666666664</v>
      </c>
      <c r="AI50">
        <f>SUM($Z$36:Z50)</f>
        <v>2.4500000000000002</v>
      </c>
      <c r="AJ50">
        <f t="shared" si="23"/>
        <v>79.032258064516142</v>
      </c>
    </row>
    <row r="51" spans="2:36" x14ac:dyDescent="0.25">
      <c r="B51" s="2">
        <v>15</v>
      </c>
      <c r="C51" s="2">
        <v>3</v>
      </c>
      <c r="D51" s="2">
        <v>16</v>
      </c>
      <c r="E51" s="2">
        <v>51</v>
      </c>
      <c r="F51" s="2">
        <v>0</v>
      </c>
      <c r="G51" s="2">
        <f t="shared" si="12"/>
        <v>70</v>
      </c>
      <c r="H51" s="2">
        <f t="shared" si="13"/>
        <v>3.5</v>
      </c>
      <c r="I51" s="2">
        <v>0</v>
      </c>
      <c r="J51" s="2">
        <v>35</v>
      </c>
      <c r="K51" s="2">
        <v>3</v>
      </c>
      <c r="L51" s="2">
        <v>15</v>
      </c>
      <c r="M51" s="2">
        <f t="shared" si="14"/>
        <v>53</v>
      </c>
      <c r="N51" s="2">
        <f t="shared" si="15"/>
        <v>2.65</v>
      </c>
      <c r="O51" s="2">
        <v>0</v>
      </c>
      <c r="P51" s="2">
        <v>0</v>
      </c>
      <c r="Q51" s="2">
        <v>0</v>
      </c>
      <c r="R51" s="2">
        <v>0</v>
      </c>
      <c r="S51" s="2">
        <f t="shared" si="16"/>
        <v>0</v>
      </c>
      <c r="T51" s="2">
        <f t="shared" si="17"/>
        <v>0</v>
      </c>
      <c r="U51" s="2">
        <v>0</v>
      </c>
      <c r="V51" s="2">
        <v>0</v>
      </c>
      <c r="W51" s="2">
        <v>0</v>
      </c>
      <c r="X51" s="2">
        <v>0</v>
      </c>
      <c r="Y51" s="2">
        <f t="shared" si="18"/>
        <v>0</v>
      </c>
      <c r="Z51" s="2">
        <f t="shared" si="19"/>
        <v>0</v>
      </c>
      <c r="AB51" s="2">
        <v>15</v>
      </c>
      <c r="AC51">
        <f>SUM($H$36:H51)</f>
        <v>38.699999999999996</v>
      </c>
      <c r="AD51">
        <f t="shared" si="20"/>
        <v>62.46973365617432</v>
      </c>
      <c r="AE51">
        <f>SUM(N$36:N51)</f>
        <v>11.6</v>
      </c>
      <c r="AF51" s="36">
        <f t="shared" si="21"/>
        <v>59.793814432989691</v>
      </c>
      <c r="AG51">
        <f>SUM($T$36:T51)</f>
        <v>2.4500000000000002</v>
      </c>
      <c r="AH51">
        <f t="shared" si="22"/>
        <v>46.666666666666664</v>
      </c>
      <c r="AI51">
        <f>SUM($Z$36:Z51)</f>
        <v>2.4500000000000002</v>
      </c>
      <c r="AJ51">
        <f t="shared" si="23"/>
        <v>79.032258064516142</v>
      </c>
    </row>
    <row r="52" spans="2:36" x14ac:dyDescent="0.25">
      <c r="B52" s="2">
        <v>16</v>
      </c>
      <c r="C52" s="2">
        <v>41</v>
      </c>
      <c r="D52" s="2">
        <v>0</v>
      </c>
      <c r="E52" s="2">
        <v>16</v>
      </c>
      <c r="F52" s="2">
        <v>6</v>
      </c>
      <c r="G52" s="2">
        <f t="shared" si="12"/>
        <v>63</v>
      </c>
      <c r="H52" s="2">
        <f t="shared" si="13"/>
        <v>3.15</v>
      </c>
      <c r="I52" s="2">
        <v>0</v>
      </c>
      <c r="J52" s="2">
        <v>0</v>
      </c>
      <c r="K52" s="2">
        <v>0</v>
      </c>
      <c r="L52" s="2">
        <v>0</v>
      </c>
      <c r="M52" s="2">
        <f t="shared" si="14"/>
        <v>0</v>
      </c>
      <c r="N52" s="2">
        <f t="shared" si="15"/>
        <v>0</v>
      </c>
      <c r="O52" s="2">
        <v>0</v>
      </c>
      <c r="P52" s="2">
        <v>0</v>
      </c>
      <c r="Q52" s="2">
        <v>1</v>
      </c>
      <c r="R52" s="2">
        <v>0</v>
      </c>
      <c r="S52" s="2">
        <f t="shared" si="16"/>
        <v>1</v>
      </c>
      <c r="T52" s="2">
        <f t="shared" si="17"/>
        <v>0.05</v>
      </c>
      <c r="U52" s="2">
        <v>0</v>
      </c>
      <c r="V52" s="2">
        <v>0</v>
      </c>
      <c r="W52" s="2">
        <v>0</v>
      </c>
      <c r="X52" s="2">
        <v>0</v>
      </c>
      <c r="Y52" s="2">
        <f t="shared" si="18"/>
        <v>0</v>
      </c>
      <c r="Z52" s="2">
        <f t="shared" si="19"/>
        <v>0</v>
      </c>
      <c r="AB52" s="2">
        <v>16</v>
      </c>
      <c r="AC52">
        <f>SUM($H$36:H52)</f>
        <v>41.849999999999994</v>
      </c>
      <c r="AD52">
        <f t="shared" si="20"/>
        <v>67.554479418886189</v>
      </c>
      <c r="AE52">
        <f>SUM(N$36:N52)</f>
        <v>11.6</v>
      </c>
      <c r="AF52">
        <f t="shared" si="21"/>
        <v>59.793814432989691</v>
      </c>
      <c r="AG52">
        <f>SUM($T$36:T52)</f>
        <v>2.5</v>
      </c>
      <c r="AH52">
        <f t="shared" si="22"/>
        <v>47.619047619047613</v>
      </c>
      <c r="AI52">
        <f>SUM($Z$36:Z52)</f>
        <v>2.4500000000000002</v>
      </c>
      <c r="AJ52">
        <f t="shared" si="23"/>
        <v>79.032258064516142</v>
      </c>
    </row>
    <row r="53" spans="2:36" x14ac:dyDescent="0.25">
      <c r="B53" s="2">
        <v>17</v>
      </c>
      <c r="C53" s="2">
        <v>15</v>
      </c>
      <c r="D53" s="2">
        <v>5</v>
      </c>
      <c r="E53" s="2">
        <v>23</v>
      </c>
      <c r="F53" s="2">
        <v>4</v>
      </c>
      <c r="G53" s="2">
        <f t="shared" si="12"/>
        <v>47</v>
      </c>
      <c r="H53" s="2">
        <f t="shared" si="13"/>
        <v>2.35</v>
      </c>
      <c r="I53" s="2">
        <v>6</v>
      </c>
      <c r="J53" s="2">
        <v>0</v>
      </c>
      <c r="K53" s="2">
        <v>0</v>
      </c>
      <c r="L53" s="2">
        <v>4</v>
      </c>
      <c r="M53" s="2">
        <f t="shared" si="14"/>
        <v>10</v>
      </c>
      <c r="N53" s="2">
        <f t="shared" si="15"/>
        <v>0.5</v>
      </c>
      <c r="O53" s="2">
        <v>0</v>
      </c>
      <c r="P53" s="2">
        <v>0</v>
      </c>
      <c r="Q53" s="2">
        <v>0</v>
      </c>
      <c r="R53" s="2">
        <v>0</v>
      </c>
      <c r="S53" s="2">
        <f t="shared" si="16"/>
        <v>0</v>
      </c>
      <c r="T53" s="2">
        <f t="shared" si="17"/>
        <v>0</v>
      </c>
      <c r="U53" s="2">
        <v>0</v>
      </c>
      <c r="V53" s="2">
        <v>0</v>
      </c>
      <c r="W53" s="2">
        <v>0</v>
      </c>
      <c r="X53" s="2">
        <v>0</v>
      </c>
      <c r="Y53" s="2">
        <f t="shared" si="18"/>
        <v>0</v>
      </c>
      <c r="Z53" s="2">
        <f t="shared" si="19"/>
        <v>0</v>
      </c>
      <c r="AB53" s="2">
        <v>17</v>
      </c>
      <c r="AC53">
        <f>SUM($H$36:H53)</f>
        <v>44.199999999999996</v>
      </c>
      <c r="AD53">
        <f t="shared" si="20"/>
        <v>71.347861178369641</v>
      </c>
      <c r="AE53">
        <f>SUM(N$36:N53)</f>
        <v>12.1</v>
      </c>
      <c r="AF53">
        <f t="shared" si="21"/>
        <v>62.371134020618555</v>
      </c>
      <c r="AG53">
        <f>SUM($T$36:T53)</f>
        <v>2.5</v>
      </c>
      <c r="AH53">
        <f t="shared" si="22"/>
        <v>47.619047619047613</v>
      </c>
      <c r="AI53">
        <f>SUM($Z$36:Z53)</f>
        <v>2.4500000000000002</v>
      </c>
      <c r="AJ53">
        <f t="shared" si="23"/>
        <v>79.032258064516142</v>
      </c>
    </row>
    <row r="54" spans="2:36" x14ac:dyDescent="0.25">
      <c r="B54" s="2">
        <v>18</v>
      </c>
      <c r="C54" s="2">
        <v>15</v>
      </c>
      <c r="D54" s="2">
        <v>1</v>
      </c>
      <c r="E54" s="2">
        <v>6</v>
      </c>
      <c r="F54" s="2">
        <v>4</v>
      </c>
      <c r="G54" s="2">
        <f t="shared" si="12"/>
        <v>26</v>
      </c>
      <c r="H54" s="2">
        <f t="shared" si="13"/>
        <v>1.3</v>
      </c>
      <c r="I54" s="2">
        <v>1</v>
      </c>
      <c r="J54" s="2">
        <v>0</v>
      </c>
      <c r="K54" s="2">
        <v>0</v>
      </c>
      <c r="L54" s="2">
        <v>5</v>
      </c>
      <c r="M54" s="2">
        <f t="shared" si="14"/>
        <v>6</v>
      </c>
      <c r="N54" s="2">
        <f t="shared" si="15"/>
        <v>0.3</v>
      </c>
      <c r="O54" s="2">
        <v>0</v>
      </c>
      <c r="P54" s="2">
        <v>0</v>
      </c>
      <c r="Q54" s="2">
        <v>0</v>
      </c>
      <c r="R54" s="2">
        <v>0</v>
      </c>
      <c r="S54" s="2">
        <f t="shared" si="16"/>
        <v>0</v>
      </c>
      <c r="T54" s="2">
        <f t="shared" si="17"/>
        <v>0</v>
      </c>
      <c r="U54" s="2">
        <v>0</v>
      </c>
      <c r="V54" s="2">
        <v>0</v>
      </c>
      <c r="W54" s="2">
        <v>0</v>
      </c>
      <c r="X54" s="2">
        <v>1</v>
      </c>
      <c r="Y54" s="2">
        <f t="shared" si="18"/>
        <v>1</v>
      </c>
      <c r="Z54" s="2">
        <f t="shared" si="19"/>
        <v>0.05</v>
      </c>
      <c r="AB54" s="2">
        <v>18</v>
      </c>
      <c r="AC54">
        <f>SUM($H$36:H54)</f>
        <v>45.499999999999993</v>
      </c>
      <c r="AD54">
        <f t="shared" si="20"/>
        <v>73.446327683615806</v>
      </c>
      <c r="AE54">
        <f>SUM(N$36:N54)</f>
        <v>12.4</v>
      </c>
      <c r="AF54">
        <f t="shared" si="21"/>
        <v>63.917525773195884</v>
      </c>
      <c r="AG54">
        <f>SUM($T$36:T54)</f>
        <v>2.5</v>
      </c>
      <c r="AH54">
        <f t="shared" si="22"/>
        <v>47.619047619047613</v>
      </c>
      <c r="AI54">
        <f>SUM($Z$36:Z54)</f>
        <v>2.5</v>
      </c>
      <c r="AJ54">
        <f t="shared" si="23"/>
        <v>80.645161290322577</v>
      </c>
    </row>
    <row r="55" spans="2:36" x14ac:dyDescent="0.25">
      <c r="B55" s="2">
        <v>19</v>
      </c>
      <c r="C55" s="2">
        <v>5</v>
      </c>
      <c r="D55" s="2">
        <v>9</v>
      </c>
      <c r="E55" s="2">
        <v>11</v>
      </c>
      <c r="F55" s="2">
        <v>16</v>
      </c>
      <c r="G55" s="2">
        <f t="shared" si="12"/>
        <v>41</v>
      </c>
      <c r="H55" s="2">
        <f t="shared" si="13"/>
        <v>2.0499999999999998</v>
      </c>
      <c r="I55" s="2">
        <v>0</v>
      </c>
      <c r="J55" s="2">
        <v>0</v>
      </c>
      <c r="K55" s="2">
        <v>8</v>
      </c>
      <c r="L55" s="2">
        <v>0</v>
      </c>
      <c r="M55" s="2">
        <f t="shared" si="14"/>
        <v>8</v>
      </c>
      <c r="N55" s="2">
        <f t="shared" si="15"/>
        <v>0.4</v>
      </c>
      <c r="O55" s="2">
        <v>0</v>
      </c>
      <c r="P55" s="2">
        <v>0</v>
      </c>
      <c r="Q55" s="2">
        <v>0</v>
      </c>
      <c r="R55" s="2">
        <v>1</v>
      </c>
      <c r="S55" s="2">
        <f t="shared" si="16"/>
        <v>1</v>
      </c>
      <c r="T55" s="2">
        <f t="shared" si="17"/>
        <v>0.05</v>
      </c>
      <c r="U55" s="2">
        <v>0</v>
      </c>
      <c r="V55" s="2">
        <v>0</v>
      </c>
      <c r="W55" s="2">
        <v>0</v>
      </c>
      <c r="X55" s="2">
        <v>0</v>
      </c>
      <c r="Y55" s="2">
        <f t="shared" si="18"/>
        <v>0</v>
      </c>
      <c r="Z55" s="2">
        <f t="shared" si="19"/>
        <v>0</v>
      </c>
      <c r="AB55" s="2">
        <v>19</v>
      </c>
      <c r="AC55">
        <f>SUM($H$36:H55)</f>
        <v>47.54999999999999</v>
      </c>
      <c r="AD55" s="37">
        <f t="shared" si="20"/>
        <v>76.755447941888605</v>
      </c>
      <c r="AE55">
        <f>SUM(N$36:N55)</f>
        <v>12.8</v>
      </c>
      <c r="AF55">
        <f t="shared" si="21"/>
        <v>65.979381443298976</v>
      </c>
      <c r="AG55">
        <f>SUM($T$36:T55)</f>
        <v>2.5499999999999998</v>
      </c>
      <c r="AH55">
        <f t="shared" si="22"/>
        <v>48.571428571428562</v>
      </c>
      <c r="AI55">
        <f>SUM($Z$36:Z55)</f>
        <v>2.5</v>
      </c>
      <c r="AJ55">
        <f t="shared" si="23"/>
        <v>80.645161290322577</v>
      </c>
    </row>
    <row r="56" spans="2:36" x14ac:dyDescent="0.25">
      <c r="B56" s="2">
        <v>20</v>
      </c>
      <c r="C56" s="2">
        <v>29</v>
      </c>
      <c r="D56" s="2">
        <v>1</v>
      </c>
      <c r="E56" s="2">
        <v>62</v>
      </c>
      <c r="F56" s="2">
        <v>7</v>
      </c>
      <c r="G56" s="2">
        <f t="shared" si="12"/>
        <v>99</v>
      </c>
      <c r="H56" s="2">
        <f t="shared" si="13"/>
        <v>4.95</v>
      </c>
      <c r="I56" s="2">
        <v>17</v>
      </c>
      <c r="J56" s="2">
        <v>1</v>
      </c>
      <c r="K56" s="2">
        <v>0</v>
      </c>
      <c r="L56" s="2">
        <v>0</v>
      </c>
      <c r="M56" s="2">
        <f t="shared" si="14"/>
        <v>18</v>
      </c>
      <c r="N56" s="2">
        <f t="shared" si="15"/>
        <v>0.9</v>
      </c>
      <c r="O56" s="2">
        <v>7</v>
      </c>
      <c r="P56" s="2">
        <v>0</v>
      </c>
      <c r="Q56" s="2">
        <v>0</v>
      </c>
      <c r="R56" s="2">
        <v>0</v>
      </c>
      <c r="S56" s="2">
        <f t="shared" si="16"/>
        <v>7</v>
      </c>
      <c r="T56" s="2">
        <f t="shared" si="17"/>
        <v>0.35</v>
      </c>
      <c r="U56" s="2">
        <v>0</v>
      </c>
      <c r="V56" s="2">
        <v>0</v>
      </c>
      <c r="W56" s="2">
        <v>0</v>
      </c>
      <c r="X56" s="2">
        <v>0</v>
      </c>
      <c r="Y56" s="2">
        <f t="shared" si="18"/>
        <v>0</v>
      </c>
      <c r="Z56" s="2">
        <f t="shared" si="19"/>
        <v>0</v>
      </c>
      <c r="AB56" s="2">
        <v>20</v>
      </c>
      <c r="AC56">
        <f>SUM($H$36:H56)</f>
        <v>52.499999999999993</v>
      </c>
      <c r="AD56">
        <f t="shared" si="20"/>
        <v>84.745762711864387</v>
      </c>
      <c r="AE56">
        <f>SUM(N$36:N56)</f>
        <v>13.700000000000001</v>
      </c>
      <c r="AF56">
        <f t="shared" si="21"/>
        <v>70.61855670103094</v>
      </c>
      <c r="AG56">
        <f>SUM($T$36:T56)</f>
        <v>2.9</v>
      </c>
      <c r="AH56" s="36">
        <f t="shared" si="22"/>
        <v>55.238095238095241</v>
      </c>
      <c r="AI56">
        <f>SUM($Z$36:Z56)</f>
        <v>2.5</v>
      </c>
      <c r="AJ56">
        <f t="shared" si="23"/>
        <v>80.645161290322577</v>
      </c>
    </row>
    <row r="57" spans="2:36" x14ac:dyDescent="0.25">
      <c r="B57" s="2">
        <v>21</v>
      </c>
      <c r="C57" s="2">
        <v>18</v>
      </c>
      <c r="D57" s="2">
        <v>0</v>
      </c>
      <c r="E57" s="2">
        <v>1</v>
      </c>
      <c r="F57" s="2">
        <v>12</v>
      </c>
      <c r="G57" s="2">
        <f t="shared" si="12"/>
        <v>31</v>
      </c>
      <c r="H57" s="2">
        <f t="shared" si="13"/>
        <v>1.55</v>
      </c>
      <c r="I57" s="2">
        <v>0</v>
      </c>
      <c r="J57" s="2">
        <v>0</v>
      </c>
      <c r="K57" s="2">
        <v>11</v>
      </c>
      <c r="L57" s="2">
        <v>0</v>
      </c>
      <c r="M57" s="2">
        <f t="shared" si="14"/>
        <v>11</v>
      </c>
      <c r="N57" s="2">
        <f t="shared" si="15"/>
        <v>0.55000000000000004</v>
      </c>
      <c r="O57" s="2">
        <v>0</v>
      </c>
      <c r="P57" s="2">
        <v>0</v>
      </c>
      <c r="Q57" s="2">
        <v>2</v>
      </c>
      <c r="R57" s="2">
        <v>0</v>
      </c>
      <c r="S57" s="2">
        <f t="shared" si="16"/>
        <v>2</v>
      </c>
      <c r="T57" s="2">
        <f t="shared" si="17"/>
        <v>0.1</v>
      </c>
      <c r="U57" s="2">
        <v>5</v>
      </c>
      <c r="V57" s="2">
        <v>0</v>
      </c>
      <c r="W57" s="2">
        <v>0</v>
      </c>
      <c r="X57" s="2">
        <v>0</v>
      </c>
      <c r="Y57" s="2">
        <f t="shared" si="18"/>
        <v>5</v>
      </c>
      <c r="Z57" s="2">
        <f t="shared" si="19"/>
        <v>0.25</v>
      </c>
      <c r="AB57" s="2">
        <v>21</v>
      </c>
      <c r="AC57">
        <f>SUM($H$36:H57)</f>
        <v>54.04999999999999</v>
      </c>
      <c r="AD57">
        <f t="shared" si="20"/>
        <v>87.24778046811943</v>
      </c>
      <c r="AE57">
        <f>SUM(N$36:N57)</f>
        <v>14.250000000000002</v>
      </c>
      <c r="AF57" s="37">
        <f t="shared" si="21"/>
        <v>73.453608247422693</v>
      </c>
      <c r="AG57">
        <f>SUM($T$36:T57)</f>
        <v>3</v>
      </c>
      <c r="AH57">
        <f t="shared" si="22"/>
        <v>57.142857142857139</v>
      </c>
      <c r="AI57">
        <f>SUM($Z$36:Z57)</f>
        <v>2.75</v>
      </c>
      <c r="AJ57">
        <f t="shared" si="23"/>
        <v>88.709677419354833</v>
      </c>
    </row>
    <row r="58" spans="2:36" x14ac:dyDescent="0.25">
      <c r="B58" s="2">
        <v>22</v>
      </c>
      <c r="C58" s="2">
        <v>16</v>
      </c>
      <c r="D58" s="2">
        <v>0</v>
      </c>
      <c r="E58" s="2">
        <v>22</v>
      </c>
      <c r="F58" s="2">
        <v>15</v>
      </c>
      <c r="G58" s="2">
        <f t="shared" si="12"/>
        <v>53</v>
      </c>
      <c r="H58" s="2">
        <f t="shared" si="13"/>
        <v>2.65</v>
      </c>
      <c r="I58" s="2">
        <v>0</v>
      </c>
      <c r="J58" s="2">
        <v>35</v>
      </c>
      <c r="K58" s="2">
        <v>0</v>
      </c>
      <c r="L58" s="2">
        <v>0</v>
      </c>
      <c r="M58" s="2">
        <f t="shared" si="14"/>
        <v>35</v>
      </c>
      <c r="N58" s="2">
        <f t="shared" si="15"/>
        <v>1.75</v>
      </c>
      <c r="O58" s="2">
        <v>0</v>
      </c>
      <c r="P58" s="2">
        <v>0</v>
      </c>
      <c r="Q58" s="2">
        <v>0</v>
      </c>
      <c r="R58" s="2">
        <v>0</v>
      </c>
      <c r="S58" s="2">
        <f t="shared" si="16"/>
        <v>0</v>
      </c>
      <c r="T58" s="2">
        <f t="shared" si="17"/>
        <v>0</v>
      </c>
      <c r="U58" s="2">
        <v>0</v>
      </c>
      <c r="V58" s="2">
        <v>0</v>
      </c>
      <c r="W58" s="2">
        <v>0</v>
      </c>
      <c r="X58" s="2">
        <v>1</v>
      </c>
      <c r="Y58" s="2">
        <f t="shared" si="18"/>
        <v>1</v>
      </c>
      <c r="Z58" s="2">
        <f t="shared" si="19"/>
        <v>0.05</v>
      </c>
      <c r="AB58" s="2">
        <v>22</v>
      </c>
      <c r="AC58">
        <f>SUM($H$36:H58)</f>
        <v>56.699999999999989</v>
      </c>
      <c r="AD58">
        <f t="shared" si="20"/>
        <v>91.525423728813536</v>
      </c>
      <c r="AE58">
        <f>SUM(N$36:N58)</f>
        <v>16</v>
      </c>
      <c r="AF58">
        <f t="shared" si="21"/>
        <v>82.474226804123717</v>
      </c>
      <c r="AG58">
        <f>SUM($T$36:T58)</f>
        <v>3</v>
      </c>
      <c r="AH58">
        <f t="shared" si="22"/>
        <v>57.142857142857139</v>
      </c>
      <c r="AI58">
        <f>SUM($Z$36:Z58)</f>
        <v>2.8</v>
      </c>
      <c r="AJ58">
        <f t="shared" si="23"/>
        <v>90.322580645161281</v>
      </c>
    </row>
    <row r="59" spans="2:36" x14ac:dyDescent="0.25">
      <c r="B59" s="2">
        <v>23</v>
      </c>
      <c r="C59" s="2">
        <v>18</v>
      </c>
      <c r="D59" s="2">
        <v>12</v>
      </c>
      <c r="E59" s="2">
        <v>50</v>
      </c>
      <c r="F59" s="2">
        <v>20</v>
      </c>
      <c r="G59" s="2">
        <f t="shared" si="12"/>
        <v>100</v>
      </c>
      <c r="H59" s="2">
        <f t="shared" si="13"/>
        <v>5</v>
      </c>
      <c r="I59" s="2">
        <v>0</v>
      </c>
      <c r="J59" s="2">
        <v>0</v>
      </c>
      <c r="K59" s="2">
        <v>18</v>
      </c>
      <c r="L59" s="2">
        <v>4</v>
      </c>
      <c r="M59" s="2">
        <f t="shared" si="14"/>
        <v>22</v>
      </c>
      <c r="N59" s="2">
        <f t="shared" si="15"/>
        <v>1.1000000000000001</v>
      </c>
      <c r="O59" s="2">
        <v>16</v>
      </c>
      <c r="P59" s="2">
        <v>1</v>
      </c>
      <c r="Q59" s="2">
        <v>7</v>
      </c>
      <c r="R59" s="2">
        <v>4</v>
      </c>
      <c r="S59" s="2">
        <f t="shared" si="16"/>
        <v>28</v>
      </c>
      <c r="T59" s="2">
        <f t="shared" si="17"/>
        <v>1.4</v>
      </c>
      <c r="U59" s="2">
        <v>0</v>
      </c>
      <c r="V59" s="2">
        <v>0</v>
      </c>
      <c r="W59" s="2">
        <v>0</v>
      </c>
      <c r="X59" s="2">
        <v>1</v>
      </c>
      <c r="Y59" s="2">
        <f t="shared" si="18"/>
        <v>1</v>
      </c>
      <c r="Z59" s="2">
        <f t="shared" si="19"/>
        <v>0.05</v>
      </c>
      <c r="AB59" s="2">
        <v>23</v>
      </c>
      <c r="AC59">
        <f>SUM($H$36:H59)</f>
        <v>61.699999999999989</v>
      </c>
      <c r="AD59" s="38">
        <f t="shared" si="20"/>
        <v>99.596448748991094</v>
      </c>
      <c r="AE59">
        <f>SUM(N$36:N59)</f>
        <v>17.100000000000001</v>
      </c>
      <c r="AF59">
        <f t="shared" si="21"/>
        <v>88.144329896907223</v>
      </c>
      <c r="AG59">
        <f>SUM($T$36:T59)</f>
        <v>4.4000000000000004</v>
      </c>
      <c r="AH59" s="37">
        <f t="shared" si="22"/>
        <v>83.80952380952381</v>
      </c>
      <c r="AI59">
        <f>SUM($Z$36:Z59)</f>
        <v>2.8499999999999996</v>
      </c>
      <c r="AJ59">
        <f t="shared" si="23"/>
        <v>91.93548387096773</v>
      </c>
    </row>
    <row r="60" spans="2:36" x14ac:dyDescent="0.25">
      <c r="B60" s="2">
        <v>24</v>
      </c>
      <c r="C60" s="2">
        <v>0</v>
      </c>
      <c r="D60" s="2">
        <v>0</v>
      </c>
      <c r="E60" s="2">
        <v>5</v>
      </c>
      <c r="F60" s="2">
        <v>0</v>
      </c>
      <c r="G60" s="2">
        <f t="shared" si="12"/>
        <v>5</v>
      </c>
      <c r="H60" s="2">
        <f t="shared" si="13"/>
        <v>0.25</v>
      </c>
      <c r="I60" s="2">
        <v>17</v>
      </c>
      <c r="J60" s="2">
        <v>1</v>
      </c>
      <c r="K60" s="2">
        <v>14</v>
      </c>
      <c r="L60" s="2">
        <v>14</v>
      </c>
      <c r="M60" s="2">
        <f t="shared" si="14"/>
        <v>46</v>
      </c>
      <c r="N60" s="2">
        <f t="shared" si="15"/>
        <v>2.2999999999999998</v>
      </c>
      <c r="O60" s="2">
        <v>12</v>
      </c>
      <c r="P60" s="2">
        <v>2</v>
      </c>
      <c r="Q60" s="2">
        <v>0</v>
      </c>
      <c r="R60" s="2">
        <v>3</v>
      </c>
      <c r="S60" s="2">
        <f t="shared" si="16"/>
        <v>17</v>
      </c>
      <c r="T60" s="2">
        <f t="shared" si="17"/>
        <v>0.85</v>
      </c>
      <c r="U60" s="2">
        <v>0</v>
      </c>
      <c r="V60" s="2">
        <v>1</v>
      </c>
      <c r="W60" s="2">
        <v>3</v>
      </c>
      <c r="X60" s="2">
        <v>1</v>
      </c>
      <c r="Y60" s="2">
        <f t="shared" si="18"/>
        <v>5</v>
      </c>
      <c r="Z60" s="2">
        <f t="shared" si="19"/>
        <v>0.25</v>
      </c>
      <c r="AB60" s="2">
        <v>24</v>
      </c>
      <c r="AC60">
        <f>SUM($H$36:H60)</f>
        <v>61.949999999999989</v>
      </c>
      <c r="AD60">
        <f t="shared" si="20"/>
        <v>99.999999999999972</v>
      </c>
      <c r="AE60">
        <f>SUM(N$36:N60)</f>
        <v>19.400000000000002</v>
      </c>
      <c r="AF60" s="38">
        <f t="shared" si="21"/>
        <v>100.00000000000003</v>
      </c>
      <c r="AG60">
        <f>SUM($T$36:T60)</f>
        <v>5.25</v>
      </c>
      <c r="AH60" s="38">
        <f t="shared" si="22"/>
        <v>100</v>
      </c>
      <c r="AI60">
        <f>SUM($Z$36:Z60)</f>
        <v>3.0999999999999996</v>
      </c>
      <c r="AJ60" s="38">
        <f t="shared" si="23"/>
        <v>99.999999999999986</v>
      </c>
    </row>
    <row r="61" spans="2:36" x14ac:dyDescent="0.25">
      <c r="B61" s="2"/>
      <c r="C61" s="2"/>
      <c r="D61" s="2"/>
      <c r="E61" s="2"/>
      <c r="F61" s="2"/>
      <c r="G61" s="2"/>
      <c r="H61" s="2">
        <f>SUM(H36:H60)</f>
        <v>61.949999999999989</v>
      </c>
      <c r="I61" s="2"/>
      <c r="J61" s="2"/>
      <c r="K61" s="2"/>
      <c r="L61" s="2"/>
      <c r="M61" s="2"/>
      <c r="N61" s="2">
        <f>SUM(N36:N60)</f>
        <v>19.400000000000002</v>
      </c>
      <c r="O61" s="2"/>
      <c r="P61" s="2"/>
      <c r="Q61" s="2"/>
      <c r="R61" s="2"/>
      <c r="S61" s="2"/>
      <c r="T61" s="2">
        <f>SUM(T36:T60)</f>
        <v>5.25</v>
      </c>
      <c r="U61" s="2"/>
      <c r="V61" s="2"/>
      <c r="W61" s="2"/>
      <c r="X61" s="2"/>
      <c r="Y61" s="2"/>
      <c r="Z61" s="2">
        <f>SUM(Z36:Z60)</f>
        <v>3.0999999999999996</v>
      </c>
    </row>
  </sheetData>
  <mergeCells count="22">
    <mergeCell ref="AB3:AK4"/>
    <mergeCell ref="C3:R3"/>
    <mergeCell ref="B34:B35"/>
    <mergeCell ref="C34:X34"/>
    <mergeCell ref="AB34:AB35"/>
    <mergeCell ref="AC34:AI34"/>
    <mergeCell ref="AM34:AV34"/>
    <mergeCell ref="AN35:AQ35"/>
    <mergeCell ref="AR35:AV35"/>
    <mergeCell ref="AM28:AV28"/>
    <mergeCell ref="AN29:AQ29"/>
    <mergeCell ref="AR29:AV29"/>
    <mergeCell ref="AN36:AQ36"/>
    <mergeCell ref="AR36:AV36"/>
    <mergeCell ref="AN30:AQ30"/>
    <mergeCell ref="AR30:AV30"/>
    <mergeCell ref="AM31:AV33"/>
    <mergeCell ref="B5:B6"/>
    <mergeCell ref="C5:X5"/>
    <mergeCell ref="AB5:AB6"/>
    <mergeCell ref="AC5:AI5"/>
    <mergeCell ref="AM17:AO1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5B8A4-29F0-44D9-A1AA-92CAADA3387B}">
  <dimension ref="B2:V52"/>
  <sheetViews>
    <sheetView topLeftCell="C1" zoomScale="130" zoomScaleNormal="130" workbookViewId="0">
      <selection activeCell="L20" sqref="L20"/>
    </sheetView>
  </sheetViews>
  <sheetFormatPr defaultColWidth="9.140625" defaultRowHeight="15" x14ac:dyDescent="0.25"/>
  <cols>
    <col min="1" max="2" width="9.140625" style="8"/>
    <col min="3" max="3" width="14.7109375" style="8" customWidth="1"/>
    <col min="4" max="4" width="10.85546875" style="8" customWidth="1"/>
    <col min="5" max="5" width="11.85546875" style="8" customWidth="1"/>
    <col min="6" max="6" width="12.5703125" style="8" customWidth="1"/>
    <col min="7" max="7" width="13.7109375" style="8" customWidth="1"/>
    <col min="8" max="10" width="9.140625" style="8"/>
    <col min="11" max="11" width="7" style="8" customWidth="1"/>
    <col min="12" max="16" width="9.140625" style="8"/>
    <col min="17" max="17" width="9.140625" style="9"/>
    <col min="18" max="16384" width="9.140625" style="8"/>
  </cols>
  <sheetData>
    <row r="2" spans="2:17" x14ac:dyDescent="0.25">
      <c r="B2" s="64" t="s">
        <v>95</v>
      </c>
      <c r="C2" s="64"/>
      <c r="D2" s="64"/>
      <c r="E2" s="64"/>
      <c r="F2" s="64"/>
      <c r="G2" s="64"/>
      <c r="H2" s="64"/>
    </row>
    <row r="3" spans="2:17" ht="14.45" customHeight="1" x14ac:dyDescent="0.25">
      <c r="B3" s="64"/>
      <c r="C3" s="64"/>
      <c r="D3" s="64"/>
      <c r="E3" s="64"/>
      <c r="F3" s="64"/>
      <c r="G3" s="64"/>
      <c r="H3" s="64"/>
    </row>
    <row r="5" spans="2:17" x14ac:dyDescent="0.25">
      <c r="B5" s="65"/>
      <c r="C5" s="66"/>
      <c r="D5" s="55" t="s">
        <v>5</v>
      </c>
      <c r="E5" s="55"/>
      <c r="F5" s="55"/>
      <c r="G5" s="55"/>
      <c r="H5" s="67" t="s">
        <v>6</v>
      </c>
      <c r="J5" s="69" t="s">
        <v>90</v>
      </c>
      <c r="K5" s="69"/>
      <c r="L5" s="76" t="s">
        <v>105</v>
      </c>
      <c r="M5" s="76"/>
      <c r="N5" s="76"/>
      <c r="O5" s="76"/>
      <c r="P5" s="76"/>
      <c r="Q5" s="76"/>
    </row>
    <row r="6" spans="2:17" x14ac:dyDescent="0.25">
      <c r="B6" s="10" t="s">
        <v>7</v>
      </c>
      <c r="C6" s="10" t="s">
        <v>8</v>
      </c>
      <c r="D6" s="10" t="s">
        <v>9</v>
      </c>
      <c r="E6" s="10" t="s">
        <v>10</v>
      </c>
      <c r="F6" s="10" t="s">
        <v>11</v>
      </c>
      <c r="G6" s="10" t="s">
        <v>12</v>
      </c>
      <c r="H6" s="67"/>
      <c r="J6" s="69"/>
      <c r="K6" s="69"/>
      <c r="L6" s="76"/>
      <c r="M6" s="76"/>
      <c r="N6" s="76"/>
      <c r="O6" s="76"/>
      <c r="P6" s="76"/>
      <c r="Q6" s="76"/>
    </row>
    <row r="7" spans="2:17" x14ac:dyDescent="0.25">
      <c r="B7" s="11">
        <v>1</v>
      </c>
      <c r="C7" s="11" t="s">
        <v>13</v>
      </c>
      <c r="D7" s="12">
        <v>0.83333333333333337</v>
      </c>
      <c r="E7" s="12">
        <v>0.56666666666666665</v>
      </c>
      <c r="F7" s="12">
        <v>0.66666666666666663</v>
      </c>
      <c r="G7" s="12">
        <v>0.56666666666666665</v>
      </c>
      <c r="H7" s="13">
        <f t="shared" ref="H7:H34" si="0">AVERAGE(D7:G7)</f>
        <v>0.65833333333333321</v>
      </c>
      <c r="J7" s="68"/>
      <c r="K7" s="68"/>
      <c r="L7" s="76"/>
      <c r="M7" s="76"/>
      <c r="N7" s="76"/>
      <c r="O7" s="76"/>
      <c r="P7" s="76"/>
      <c r="Q7" s="76"/>
    </row>
    <row r="8" spans="2:17" x14ac:dyDescent="0.25">
      <c r="B8" s="11">
        <v>1</v>
      </c>
      <c r="C8" s="11" t="s">
        <v>14</v>
      </c>
      <c r="D8" s="12">
        <v>0.34782608695652173</v>
      </c>
      <c r="E8" s="12">
        <v>0.3</v>
      </c>
      <c r="F8" s="12">
        <v>0.56000000000000005</v>
      </c>
      <c r="G8" s="12">
        <v>0.04</v>
      </c>
      <c r="H8" s="13">
        <f t="shared" si="0"/>
        <v>0.31195652173913047</v>
      </c>
      <c r="J8" s="68"/>
      <c r="K8" s="68"/>
      <c r="L8" s="76"/>
      <c r="M8" s="76"/>
      <c r="N8" s="76"/>
      <c r="O8" s="76"/>
      <c r="P8" s="76"/>
      <c r="Q8" s="76"/>
    </row>
    <row r="9" spans="2:17" x14ac:dyDescent="0.25">
      <c r="B9" s="11">
        <v>2</v>
      </c>
      <c r="C9" s="11" t="s">
        <v>15</v>
      </c>
      <c r="D9" s="12">
        <v>3.3333333333333333E-2</v>
      </c>
      <c r="E9" s="12">
        <v>0.23333333333333334</v>
      </c>
      <c r="F9" s="12">
        <v>0</v>
      </c>
      <c r="G9" s="12">
        <v>3.8461538461538464E-2</v>
      </c>
      <c r="H9" s="13">
        <f t="shared" si="0"/>
        <v>7.6282051282051289E-2</v>
      </c>
      <c r="J9" s="68"/>
      <c r="K9" s="68"/>
      <c r="L9" s="76"/>
      <c r="M9" s="76"/>
      <c r="N9" s="76"/>
      <c r="O9" s="76"/>
      <c r="P9" s="76"/>
      <c r="Q9" s="76"/>
    </row>
    <row r="10" spans="2:17" x14ac:dyDescent="0.25">
      <c r="B10" s="11">
        <v>2</v>
      </c>
      <c r="C10" s="11" t="s">
        <v>16</v>
      </c>
      <c r="D10" s="12">
        <v>9.0909090909090912E-2</v>
      </c>
      <c r="E10" s="12">
        <v>0.44444444444444442</v>
      </c>
      <c r="F10" s="12">
        <v>0.24</v>
      </c>
      <c r="G10" s="12">
        <v>0.12</v>
      </c>
      <c r="H10" s="13">
        <f t="shared" si="0"/>
        <v>0.22383838383838384</v>
      </c>
      <c r="J10" s="68"/>
      <c r="K10" s="68"/>
      <c r="L10" s="76"/>
      <c r="M10" s="76"/>
      <c r="N10" s="76"/>
      <c r="O10" s="76"/>
      <c r="P10" s="76"/>
      <c r="Q10" s="76"/>
    </row>
    <row r="11" spans="2:17" x14ac:dyDescent="0.25">
      <c r="B11" s="11">
        <v>3</v>
      </c>
      <c r="C11" s="11" t="s">
        <v>17</v>
      </c>
      <c r="D11" s="12">
        <v>0.1</v>
      </c>
      <c r="E11" s="12">
        <v>3.3333333333333333E-2</v>
      </c>
      <c r="F11" s="12">
        <v>0</v>
      </c>
      <c r="G11" s="12">
        <v>0.19230769230769232</v>
      </c>
      <c r="H11" s="13">
        <f t="shared" si="0"/>
        <v>8.1410256410256412E-2</v>
      </c>
    </row>
    <row r="12" spans="2:17" x14ac:dyDescent="0.25">
      <c r="B12" s="11">
        <v>3</v>
      </c>
      <c r="C12" s="11" t="s">
        <v>18</v>
      </c>
      <c r="D12" s="12">
        <v>0.55000000000000004</v>
      </c>
      <c r="E12" s="12">
        <v>0.11764705882352941</v>
      </c>
      <c r="F12" s="12">
        <v>0.08</v>
      </c>
      <c r="G12" s="12">
        <v>0.12</v>
      </c>
      <c r="H12" s="13">
        <f t="shared" si="0"/>
        <v>0.21691176470588236</v>
      </c>
    </row>
    <row r="13" spans="2:17" x14ac:dyDescent="0.25">
      <c r="B13" s="11">
        <v>4</v>
      </c>
      <c r="C13" s="11" t="s">
        <v>19</v>
      </c>
      <c r="D13" s="12">
        <v>6.6666666666666666E-2</v>
      </c>
      <c r="E13" s="12">
        <v>0.13333333333333333</v>
      </c>
      <c r="F13" s="12">
        <v>3.5714285714285712E-2</v>
      </c>
      <c r="G13" s="12">
        <v>0</v>
      </c>
      <c r="H13" s="13">
        <f t="shared" si="0"/>
        <v>5.8928571428571427E-2</v>
      </c>
    </row>
    <row r="14" spans="2:17" x14ac:dyDescent="0.25">
      <c r="B14" s="11">
        <v>4</v>
      </c>
      <c r="C14" s="11" t="s">
        <v>20</v>
      </c>
      <c r="D14" s="12">
        <v>0.1</v>
      </c>
      <c r="E14" s="12">
        <v>0.26666666666666666</v>
      </c>
      <c r="F14" s="12">
        <v>4.1666666666666664E-2</v>
      </c>
      <c r="G14" s="12">
        <v>0.16</v>
      </c>
      <c r="H14" s="13">
        <f t="shared" si="0"/>
        <v>0.14208333333333334</v>
      </c>
    </row>
    <row r="15" spans="2:17" x14ac:dyDescent="0.25">
      <c r="B15" s="11">
        <v>5</v>
      </c>
      <c r="C15" s="11" t="s">
        <v>21</v>
      </c>
      <c r="D15" s="12">
        <v>0.53333333333333333</v>
      </c>
      <c r="E15" s="12">
        <v>0.56666666666666665</v>
      </c>
      <c r="F15" s="12">
        <v>0</v>
      </c>
      <c r="G15" s="12">
        <v>0</v>
      </c>
      <c r="H15" s="13">
        <f t="shared" si="0"/>
        <v>0.27500000000000002</v>
      </c>
    </row>
    <row r="16" spans="2:17" x14ac:dyDescent="0.25">
      <c r="B16" s="11">
        <v>5</v>
      </c>
      <c r="C16" s="11" t="s">
        <v>22</v>
      </c>
      <c r="D16" s="12">
        <v>0.1</v>
      </c>
      <c r="E16" s="12">
        <v>0.13333333333333333</v>
      </c>
      <c r="F16" s="12">
        <v>0.20833333333333334</v>
      </c>
      <c r="G16" s="12">
        <v>0.12</v>
      </c>
      <c r="H16" s="13">
        <f t="shared" si="0"/>
        <v>0.14041666666666666</v>
      </c>
    </row>
    <row r="17" spans="2:8" x14ac:dyDescent="0.25">
      <c r="B17" s="11">
        <v>6</v>
      </c>
      <c r="C17" s="11" t="s">
        <v>23</v>
      </c>
      <c r="D17" s="12">
        <v>6.6666666666666666E-2</v>
      </c>
      <c r="E17" s="12">
        <v>6.6666666666666666E-2</v>
      </c>
      <c r="F17" s="12">
        <v>0.6071428571428571</v>
      </c>
      <c r="G17" s="12">
        <v>0.56000000000000005</v>
      </c>
      <c r="H17" s="13">
        <f t="shared" si="0"/>
        <v>0.32511904761904764</v>
      </c>
    </row>
    <row r="18" spans="2:8" x14ac:dyDescent="0.25">
      <c r="B18" s="11">
        <v>6</v>
      </c>
      <c r="C18" s="11" t="s">
        <v>24</v>
      </c>
      <c r="D18" s="12">
        <v>0.1</v>
      </c>
      <c r="E18" s="12">
        <v>6.6666666666666666E-2</v>
      </c>
      <c r="F18" s="12">
        <v>0.29166666666666669</v>
      </c>
      <c r="G18" s="12">
        <v>0.08</v>
      </c>
      <c r="H18" s="13">
        <f t="shared" si="0"/>
        <v>0.13458333333333333</v>
      </c>
    </row>
    <row r="19" spans="2:8" x14ac:dyDescent="0.25">
      <c r="B19" s="11">
        <v>7</v>
      </c>
      <c r="C19" s="11" t="s">
        <v>25</v>
      </c>
      <c r="D19" s="12">
        <v>0.23333333333333334</v>
      </c>
      <c r="E19" s="12">
        <v>6.6666666666666666E-2</v>
      </c>
      <c r="F19" s="12">
        <v>0.14285714285714285</v>
      </c>
      <c r="G19" s="12">
        <v>0.32</v>
      </c>
      <c r="H19" s="13">
        <f t="shared" si="0"/>
        <v>0.19071428571428573</v>
      </c>
    </row>
    <row r="20" spans="2:8" x14ac:dyDescent="0.25">
      <c r="B20" s="11">
        <v>7</v>
      </c>
      <c r="C20" s="11" t="s">
        <v>26</v>
      </c>
      <c r="D20" s="12">
        <v>0.3</v>
      </c>
      <c r="E20" s="12">
        <v>0.26666666666666666</v>
      </c>
      <c r="F20" s="12">
        <v>0.41666666666666669</v>
      </c>
      <c r="G20" s="12">
        <v>0.16</v>
      </c>
      <c r="H20" s="13">
        <f t="shared" si="0"/>
        <v>0.28583333333333333</v>
      </c>
    </row>
    <row r="21" spans="2:8" x14ac:dyDescent="0.25">
      <c r="B21" s="11">
        <v>8</v>
      </c>
      <c r="C21" s="11" t="s">
        <v>27</v>
      </c>
      <c r="D21" s="12">
        <v>0.23333333333333334</v>
      </c>
      <c r="E21" s="12">
        <v>0.13333333333333333</v>
      </c>
      <c r="F21" s="12">
        <v>7.1428571428571425E-2</v>
      </c>
      <c r="G21" s="12">
        <v>0.16</v>
      </c>
      <c r="H21" s="13">
        <f t="shared" si="0"/>
        <v>0.14952380952380953</v>
      </c>
    </row>
    <row r="22" spans="2:8" x14ac:dyDescent="0.25">
      <c r="B22" s="11">
        <v>8</v>
      </c>
      <c r="C22" s="11" t="s">
        <v>28</v>
      </c>
      <c r="D22" s="12">
        <v>0.3</v>
      </c>
      <c r="E22" s="12">
        <v>0</v>
      </c>
      <c r="F22" s="12">
        <v>0.16666666666666666</v>
      </c>
      <c r="G22" s="12">
        <v>0.24</v>
      </c>
      <c r="H22" s="13">
        <f t="shared" si="0"/>
        <v>0.17666666666666667</v>
      </c>
    </row>
    <row r="23" spans="2:8" x14ac:dyDescent="0.25">
      <c r="B23" s="11">
        <v>9</v>
      </c>
      <c r="C23" s="11" t="s">
        <v>29</v>
      </c>
      <c r="D23" s="12">
        <v>0.36666666666666664</v>
      </c>
      <c r="E23" s="12">
        <v>0.4</v>
      </c>
      <c r="F23" s="12">
        <v>0.14285714285714285</v>
      </c>
      <c r="G23" s="12">
        <v>0.28000000000000003</v>
      </c>
      <c r="H23" s="13">
        <f t="shared" si="0"/>
        <v>0.29738095238095236</v>
      </c>
    </row>
    <row r="24" spans="2:8" x14ac:dyDescent="0.25">
      <c r="B24" s="11">
        <v>9</v>
      </c>
      <c r="C24" s="11" t="s">
        <v>30</v>
      </c>
      <c r="D24" s="12">
        <v>0.35</v>
      </c>
      <c r="E24" s="12">
        <v>0</v>
      </c>
      <c r="F24" s="12">
        <v>0.16666666666666666</v>
      </c>
      <c r="G24" s="12">
        <v>0.24</v>
      </c>
      <c r="H24" s="13">
        <f t="shared" si="0"/>
        <v>0.18916666666666665</v>
      </c>
    </row>
    <row r="25" spans="2:8" x14ac:dyDescent="0.25">
      <c r="B25" s="11">
        <v>10</v>
      </c>
      <c r="C25" s="11" t="s">
        <v>31</v>
      </c>
      <c r="D25" s="12">
        <v>0.13333333333333333</v>
      </c>
      <c r="E25" s="12">
        <v>0.26666666666666666</v>
      </c>
      <c r="F25" s="12">
        <v>0.17857142857142858</v>
      </c>
      <c r="G25" s="12">
        <v>0.04</v>
      </c>
      <c r="H25" s="13">
        <f t="shared" si="0"/>
        <v>0.15464285714285717</v>
      </c>
    </row>
    <row r="26" spans="2:8" x14ac:dyDescent="0.25">
      <c r="B26" s="11">
        <v>10</v>
      </c>
      <c r="C26" s="11" t="s">
        <v>32</v>
      </c>
      <c r="D26" s="12">
        <v>0.15</v>
      </c>
      <c r="E26" s="12">
        <v>0.13333333333333333</v>
      </c>
      <c r="F26" s="12">
        <v>0.29166666666666669</v>
      </c>
      <c r="G26" s="12">
        <v>0.28000000000000003</v>
      </c>
      <c r="H26" s="13">
        <f t="shared" si="0"/>
        <v>0.21375</v>
      </c>
    </row>
    <row r="27" spans="2:8" x14ac:dyDescent="0.25">
      <c r="B27" s="11">
        <v>11</v>
      </c>
      <c r="C27" s="11" t="s">
        <v>33</v>
      </c>
      <c r="D27" s="12">
        <v>0.16666666666666666</v>
      </c>
      <c r="E27" s="12">
        <v>6.6666666666666666E-2</v>
      </c>
      <c r="F27" s="12">
        <v>0.4642857142857143</v>
      </c>
      <c r="G27" s="12">
        <v>0.2</v>
      </c>
      <c r="H27" s="13">
        <f t="shared" si="0"/>
        <v>0.22440476190476188</v>
      </c>
    </row>
    <row r="28" spans="2:8" x14ac:dyDescent="0.25">
      <c r="B28" s="11">
        <v>11</v>
      </c>
      <c r="C28" s="11" t="s">
        <v>34</v>
      </c>
      <c r="D28" s="12">
        <v>0.3</v>
      </c>
      <c r="E28" s="12">
        <v>0.2</v>
      </c>
      <c r="F28" s="12">
        <v>0.41666666666666669</v>
      </c>
      <c r="G28" s="12">
        <v>0.04</v>
      </c>
      <c r="H28" s="13">
        <f t="shared" si="0"/>
        <v>0.23916666666666669</v>
      </c>
    </row>
    <row r="29" spans="2:8" x14ac:dyDescent="0.25">
      <c r="B29" s="11">
        <v>12</v>
      </c>
      <c r="C29" s="11" t="s">
        <v>35</v>
      </c>
      <c r="D29" s="12">
        <v>0.13333333333333333</v>
      </c>
      <c r="E29" s="12">
        <v>0.33333333333333331</v>
      </c>
      <c r="F29" s="12">
        <v>0.10714285714285714</v>
      </c>
      <c r="G29" s="12">
        <v>0.24</v>
      </c>
      <c r="H29" s="13">
        <f t="shared" si="0"/>
        <v>0.20345238095238094</v>
      </c>
    </row>
    <row r="30" spans="2:8" x14ac:dyDescent="0.25">
      <c r="B30" s="11">
        <v>12</v>
      </c>
      <c r="C30" s="11" t="s">
        <v>36</v>
      </c>
      <c r="D30" s="12">
        <v>0.2</v>
      </c>
      <c r="E30" s="12">
        <v>0.2</v>
      </c>
      <c r="F30" s="12">
        <v>0.5</v>
      </c>
      <c r="G30" s="12">
        <v>0.12</v>
      </c>
      <c r="H30" s="13">
        <f t="shared" si="0"/>
        <v>0.255</v>
      </c>
    </row>
    <row r="31" spans="2:8" x14ac:dyDescent="0.25">
      <c r="B31" s="11">
        <v>13</v>
      </c>
      <c r="C31" s="11" t="s">
        <v>37</v>
      </c>
      <c r="D31" s="12">
        <v>6.6666666666666666E-2</v>
      </c>
      <c r="E31" s="12">
        <v>6.6666666666666666E-2</v>
      </c>
      <c r="F31" s="12">
        <v>0.14285714285714285</v>
      </c>
      <c r="G31" s="12">
        <v>0.32</v>
      </c>
      <c r="H31" s="13">
        <f t="shared" si="0"/>
        <v>0.14904761904761904</v>
      </c>
    </row>
    <row r="32" spans="2:8" x14ac:dyDescent="0.25">
      <c r="B32" s="11">
        <v>13</v>
      </c>
      <c r="C32" s="11" t="s">
        <v>38</v>
      </c>
      <c r="D32" s="12">
        <v>0.15</v>
      </c>
      <c r="E32" s="12">
        <v>0.26666666666666666</v>
      </c>
      <c r="F32" s="12">
        <v>0.20833333333333334</v>
      </c>
      <c r="G32" s="12">
        <v>0.12</v>
      </c>
      <c r="H32" s="13">
        <f t="shared" si="0"/>
        <v>0.18625</v>
      </c>
    </row>
    <row r="33" spans="2:22" x14ac:dyDescent="0.25">
      <c r="B33" s="11">
        <v>14</v>
      </c>
      <c r="C33" s="11" t="s">
        <v>39</v>
      </c>
      <c r="D33" s="12">
        <v>6.6666666666666666E-2</v>
      </c>
      <c r="E33" s="12">
        <v>3.3333333333333333E-2</v>
      </c>
      <c r="F33" s="12">
        <v>0.25</v>
      </c>
      <c r="G33" s="12">
        <v>0.24</v>
      </c>
      <c r="H33" s="13">
        <f t="shared" si="0"/>
        <v>0.14749999999999999</v>
      </c>
    </row>
    <row r="34" spans="2:22" x14ac:dyDescent="0.25">
      <c r="B34" s="11">
        <v>14</v>
      </c>
      <c r="C34" s="11" t="s">
        <v>40</v>
      </c>
      <c r="D34" s="12">
        <v>0.05</v>
      </c>
      <c r="E34" s="12">
        <v>0.26666666666666666</v>
      </c>
      <c r="F34" s="12">
        <v>0.25</v>
      </c>
      <c r="G34" s="12">
        <v>0.16</v>
      </c>
      <c r="H34" s="13">
        <f t="shared" si="0"/>
        <v>0.18166666666666667</v>
      </c>
    </row>
    <row r="38" spans="2:22" x14ac:dyDescent="0.25">
      <c r="B38" s="55" t="s">
        <v>103</v>
      </c>
      <c r="C38" s="55"/>
      <c r="D38" s="55"/>
      <c r="E38" s="55"/>
      <c r="F38" s="55"/>
      <c r="G38" s="55"/>
      <c r="H38" s="55"/>
      <c r="I38" s="55"/>
      <c r="J38" s="55"/>
      <c r="K38" s="55"/>
      <c r="L38" s="55"/>
      <c r="M38" s="55"/>
      <c r="N38" s="55"/>
      <c r="O38" s="55"/>
      <c r="P38" s="55"/>
      <c r="Q38" s="58" t="s">
        <v>6</v>
      </c>
      <c r="S38" s="77"/>
      <c r="T38" s="77"/>
      <c r="U38" s="77"/>
      <c r="V38" s="77"/>
    </row>
    <row r="39" spans="2:22" s="9" customFormat="1" x14ac:dyDescent="0.25">
      <c r="B39" s="7" t="s">
        <v>41</v>
      </c>
      <c r="C39" s="7">
        <v>1</v>
      </c>
      <c r="D39" s="7">
        <v>2</v>
      </c>
      <c r="E39" s="7">
        <v>3</v>
      </c>
      <c r="F39" s="7">
        <v>4</v>
      </c>
      <c r="G39" s="7">
        <v>5</v>
      </c>
      <c r="H39" s="7">
        <v>6</v>
      </c>
      <c r="I39" s="7">
        <v>7</v>
      </c>
      <c r="J39" s="7">
        <v>8</v>
      </c>
      <c r="K39" s="7">
        <v>9</v>
      </c>
      <c r="L39" s="7">
        <v>10</v>
      </c>
      <c r="M39" s="7">
        <v>11</v>
      </c>
      <c r="N39" s="7">
        <v>12</v>
      </c>
      <c r="O39" s="7">
        <v>13</v>
      </c>
      <c r="P39" s="7">
        <v>14</v>
      </c>
      <c r="Q39" s="58"/>
      <c r="S39" s="77"/>
      <c r="T39" s="77"/>
      <c r="U39" s="77"/>
      <c r="V39" s="77"/>
    </row>
    <row r="40" spans="2:22" x14ac:dyDescent="0.25">
      <c r="B40" s="7" t="s">
        <v>42</v>
      </c>
      <c r="C40" s="14">
        <v>0.34782608695652173</v>
      </c>
      <c r="D40" s="14">
        <v>0.43873517786561267</v>
      </c>
      <c r="E40" s="14">
        <v>0.98873517786561271</v>
      </c>
      <c r="F40" s="14">
        <v>1.0887351778656127</v>
      </c>
      <c r="G40" s="14">
        <v>1.1887351778656128</v>
      </c>
      <c r="H40" s="14">
        <v>1.2887351778656129</v>
      </c>
      <c r="I40" s="14">
        <v>1.5887351778656129</v>
      </c>
      <c r="J40" s="14">
        <v>1.888735177865613</v>
      </c>
      <c r="K40" s="14">
        <v>2.238735177865613</v>
      </c>
      <c r="L40" s="14">
        <v>2.388735177865613</v>
      </c>
      <c r="M40" s="14">
        <v>2.6887351778656128</v>
      </c>
      <c r="N40" s="14">
        <v>2.888735177865613</v>
      </c>
      <c r="O40" s="14">
        <v>3.0387351778656129</v>
      </c>
      <c r="P40" s="14">
        <v>3.0887351778656127</v>
      </c>
      <c r="Q40" s="13">
        <f>AVERAGE(C40:P40)</f>
        <v>1.7965273856578208</v>
      </c>
      <c r="S40" s="77"/>
      <c r="T40" s="77"/>
      <c r="U40" s="77"/>
      <c r="V40" s="77"/>
    </row>
    <row r="41" spans="2:22" x14ac:dyDescent="0.25">
      <c r="B41" s="7" t="s">
        <v>43</v>
      </c>
      <c r="C41" s="14">
        <v>0.3</v>
      </c>
      <c r="D41" s="14">
        <v>0.74444444444444446</v>
      </c>
      <c r="E41" s="14">
        <v>0.8620915032679739</v>
      </c>
      <c r="F41" s="14">
        <v>1.1287581699346405</v>
      </c>
      <c r="G41" s="14">
        <v>1.2620915032679738</v>
      </c>
      <c r="H41" s="14">
        <v>1.3287581699346405</v>
      </c>
      <c r="I41" s="14">
        <v>1.5954248366013071</v>
      </c>
      <c r="J41" s="14">
        <v>1.5954248366013071</v>
      </c>
      <c r="K41" s="14">
        <v>1.5954248366013071</v>
      </c>
      <c r="L41" s="14">
        <v>1.7287581699346404</v>
      </c>
      <c r="M41" s="14">
        <v>1.9287581699346403</v>
      </c>
      <c r="N41" s="14">
        <v>2.1287581699346405</v>
      </c>
      <c r="O41" s="14">
        <v>2.3954248366013071</v>
      </c>
      <c r="P41" s="14">
        <v>2.6620915032679737</v>
      </c>
      <c r="Q41" s="13">
        <f>AVERAGE(C41:P41)</f>
        <v>1.5183006535947712</v>
      </c>
      <c r="S41" s="77"/>
      <c r="T41" s="77"/>
      <c r="U41" s="77"/>
      <c r="V41" s="77"/>
    </row>
    <row r="42" spans="2:22" x14ac:dyDescent="0.25">
      <c r="B42" s="7" t="s">
        <v>44</v>
      </c>
      <c r="C42" s="14">
        <v>0.56000000000000005</v>
      </c>
      <c r="D42" s="14">
        <v>0.8</v>
      </c>
      <c r="E42" s="14">
        <v>0.88</v>
      </c>
      <c r="F42" s="14">
        <v>0.92166666666666663</v>
      </c>
      <c r="G42" s="14">
        <v>1.1299999999999999</v>
      </c>
      <c r="H42" s="14">
        <v>1.4216666666666666</v>
      </c>
      <c r="I42" s="14">
        <v>1.8383333333333334</v>
      </c>
      <c r="J42" s="14">
        <v>2.0049999999999999</v>
      </c>
      <c r="K42" s="14">
        <v>2.1716666666666664</v>
      </c>
      <c r="L42" s="14">
        <v>2.4633333333333329</v>
      </c>
      <c r="M42" s="14">
        <v>2.8799999999999994</v>
      </c>
      <c r="N42" s="14">
        <v>3.3799999999999994</v>
      </c>
      <c r="O42" s="14">
        <v>3.5883333333333329</v>
      </c>
      <c r="P42" s="14">
        <v>3.8383333333333329</v>
      </c>
      <c r="Q42" s="13">
        <f>AVERAGE(C42:P42)</f>
        <v>1.9913095238095235</v>
      </c>
      <c r="S42" s="77"/>
      <c r="T42" s="77"/>
      <c r="U42" s="77"/>
      <c r="V42" s="77"/>
    </row>
    <row r="43" spans="2:22" x14ac:dyDescent="0.25">
      <c r="B43" s="7" t="s">
        <v>45</v>
      </c>
      <c r="C43" s="14">
        <v>0.04</v>
      </c>
      <c r="D43" s="14">
        <v>0.16</v>
      </c>
      <c r="E43" s="14">
        <v>0.28000000000000003</v>
      </c>
      <c r="F43" s="14">
        <v>0.44000000000000006</v>
      </c>
      <c r="G43" s="14">
        <v>0.56000000000000005</v>
      </c>
      <c r="H43" s="14">
        <v>0.64</v>
      </c>
      <c r="I43" s="14">
        <v>0.8</v>
      </c>
      <c r="J43" s="14">
        <v>1.04</v>
      </c>
      <c r="K43" s="14">
        <v>1.28</v>
      </c>
      <c r="L43" s="14">
        <v>1.56</v>
      </c>
      <c r="M43" s="14">
        <v>1.6</v>
      </c>
      <c r="N43" s="14">
        <v>1.7200000000000002</v>
      </c>
      <c r="O43" s="14">
        <v>1.8400000000000003</v>
      </c>
      <c r="P43" s="14">
        <v>2.0000000000000004</v>
      </c>
      <c r="Q43" s="13">
        <f>AVERAGE(C43:P43)</f>
        <v>0.99714285714285722</v>
      </c>
      <c r="S43" s="77"/>
      <c r="T43" s="77"/>
      <c r="U43" s="77"/>
      <c r="V43" s="77"/>
    </row>
    <row r="44" spans="2:22" x14ac:dyDescent="0.25">
      <c r="B44" s="5"/>
      <c r="C44" s="15"/>
      <c r="D44" s="15"/>
      <c r="E44" s="15"/>
      <c r="F44" s="15"/>
      <c r="G44" s="15"/>
      <c r="H44" s="15"/>
      <c r="I44" s="15"/>
      <c r="J44" s="15"/>
      <c r="K44" s="15"/>
      <c r="L44" s="15"/>
      <c r="M44" s="15"/>
      <c r="N44" s="15"/>
      <c r="O44" s="15"/>
      <c r="P44" s="15"/>
    </row>
    <row r="45" spans="2:22" x14ac:dyDescent="0.25">
      <c r="B45"/>
      <c r="C45"/>
      <c r="D45"/>
      <c r="E45"/>
      <c r="F45"/>
      <c r="G45"/>
      <c r="H45"/>
      <c r="I45"/>
      <c r="J45"/>
      <c r="K45"/>
      <c r="L45"/>
      <c r="M45"/>
      <c r="N45"/>
      <c r="O45"/>
      <c r="P45"/>
    </row>
    <row r="46" spans="2:22" x14ac:dyDescent="0.25">
      <c r="B46"/>
      <c r="C46"/>
      <c r="D46"/>
      <c r="E46"/>
      <c r="F46"/>
      <c r="G46"/>
      <c r="H46"/>
      <c r="I46"/>
      <c r="J46"/>
      <c r="K46"/>
      <c r="L46"/>
      <c r="M46"/>
      <c r="N46"/>
      <c r="O46"/>
      <c r="P46"/>
    </row>
    <row r="47" spans="2:22" x14ac:dyDescent="0.25">
      <c r="B47" s="55" t="s">
        <v>104</v>
      </c>
      <c r="C47" s="55"/>
      <c r="D47" s="55"/>
      <c r="E47" s="55"/>
      <c r="F47" s="55"/>
      <c r="G47" s="55"/>
      <c r="H47" s="55"/>
      <c r="I47" s="55"/>
      <c r="J47" s="55"/>
      <c r="K47" s="55"/>
      <c r="L47" s="55"/>
      <c r="M47" s="55"/>
      <c r="N47" s="55"/>
      <c r="O47" s="55"/>
      <c r="P47" s="55"/>
      <c r="Q47" s="55" t="s">
        <v>6</v>
      </c>
    </row>
    <row r="48" spans="2:22" s="9" customFormat="1" x14ac:dyDescent="0.25">
      <c r="B48" s="7" t="s">
        <v>41</v>
      </c>
      <c r="C48" s="7">
        <v>1</v>
      </c>
      <c r="D48" s="7">
        <v>2</v>
      </c>
      <c r="E48" s="7">
        <v>3</v>
      </c>
      <c r="F48" s="7">
        <v>4</v>
      </c>
      <c r="G48" s="7">
        <v>5</v>
      </c>
      <c r="H48" s="7">
        <v>6</v>
      </c>
      <c r="I48" s="7">
        <v>7</v>
      </c>
      <c r="J48" s="7">
        <v>8</v>
      </c>
      <c r="K48" s="7">
        <v>9</v>
      </c>
      <c r="L48" s="7">
        <v>10</v>
      </c>
      <c r="M48" s="7">
        <v>11</v>
      </c>
      <c r="N48" s="7">
        <v>12</v>
      </c>
      <c r="O48" s="7">
        <v>13</v>
      </c>
      <c r="P48" s="7">
        <v>14</v>
      </c>
      <c r="Q48" s="55"/>
    </row>
    <row r="49" spans="2:17" x14ac:dyDescent="0.25">
      <c r="B49" s="7" t="s">
        <v>42</v>
      </c>
      <c r="C49" s="14">
        <v>0.83333333333333337</v>
      </c>
      <c r="D49" s="14">
        <v>0.8666666666666667</v>
      </c>
      <c r="E49" s="14">
        <v>0.96666666666666667</v>
      </c>
      <c r="F49" s="14">
        <v>1.0333333333333334</v>
      </c>
      <c r="G49" s="14">
        <v>1.5666666666666669</v>
      </c>
      <c r="H49" s="14">
        <v>1.6333333333333335</v>
      </c>
      <c r="I49" s="14">
        <v>1.8666666666666669</v>
      </c>
      <c r="J49" s="14">
        <v>2.1</v>
      </c>
      <c r="K49" s="14">
        <v>2.4666666666666668</v>
      </c>
      <c r="L49" s="14">
        <v>2.6</v>
      </c>
      <c r="M49" s="14">
        <v>2.7666666666666666</v>
      </c>
      <c r="N49" s="14">
        <v>2.9</v>
      </c>
      <c r="O49" s="14">
        <v>2.9666666666666668</v>
      </c>
      <c r="P49" s="14">
        <v>3.0333333333333337</v>
      </c>
      <c r="Q49" s="13">
        <f>AVERAGE(C49:P49)</f>
        <v>1.9714285714285713</v>
      </c>
    </row>
    <row r="50" spans="2:17" x14ac:dyDescent="0.25">
      <c r="B50" s="7" t="s">
        <v>43</v>
      </c>
      <c r="C50" s="14">
        <v>0.56666666666666665</v>
      </c>
      <c r="D50" s="14">
        <v>0.8</v>
      </c>
      <c r="E50" s="14">
        <v>0.83333333333333337</v>
      </c>
      <c r="F50" s="14">
        <v>0.96666666666666667</v>
      </c>
      <c r="G50" s="14">
        <v>1.5333333333333332</v>
      </c>
      <c r="H50" s="14">
        <v>1.5999999999999999</v>
      </c>
      <c r="I50" s="14">
        <v>1.6666666666666665</v>
      </c>
      <c r="J50" s="14">
        <v>1.7999999999999998</v>
      </c>
      <c r="K50" s="14">
        <v>2.1999999999999997</v>
      </c>
      <c r="L50" s="14">
        <v>2.4666666666666663</v>
      </c>
      <c r="M50" s="14">
        <v>2.5333333333333332</v>
      </c>
      <c r="N50" s="14">
        <v>2.8666666666666667</v>
      </c>
      <c r="O50" s="14">
        <v>2.9333333333333336</v>
      </c>
      <c r="P50" s="14">
        <v>2.9666666666666668</v>
      </c>
      <c r="Q50" s="13">
        <f>AVERAGE(C50:P50)</f>
        <v>1.8380952380952382</v>
      </c>
    </row>
    <row r="51" spans="2:17" x14ac:dyDescent="0.25">
      <c r="B51" s="7" t="s">
        <v>44</v>
      </c>
      <c r="C51" s="14">
        <v>0.66666666666666663</v>
      </c>
      <c r="D51" s="14">
        <v>0.66666666666666663</v>
      </c>
      <c r="E51" s="14">
        <v>0.66666666666666663</v>
      </c>
      <c r="F51" s="14">
        <v>0.70238095238095233</v>
      </c>
      <c r="G51" s="14">
        <v>0.70238095238095233</v>
      </c>
      <c r="H51" s="14">
        <v>1.3095238095238093</v>
      </c>
      <c r="I51" s="14">
        <v>1.4523809523809521</v>
      </c>
      <c r="J51" s="14">
        <v>1.5238095238095235</v>
      </c>
      <c r="K51" s="14">
        <v>1.6666666666666663</v>
      </c>
      <c r="L51" s="14">
        <v>1.8452380952380949</v>
      </c>
      <c r="M51" s="14">
        <v>2.3095238095238093</v>
      </c>
      <c r="N51" s="14">
        <v>2.4166666666666665</v>
      </c>
      <c r="O51" s="14">
        <v>2.5595238095238093</v>
      </c>
      <c r="P51" s="14">
        <v>2.8095238095238093</v>
      </c>
      <c r="Q51" s="13">
        <f>AVERAGE(C51:P51)</f>
        <v>1.5212585034013604</v>
      </c>
    </row>
    <row r="52" spans="2:17" x14ac:dyDescent="0.25">
      <c r="B52" s="7" t="s">
        <v>45</v>
      </c>
      <c r="C52" s="14">
        <v>0.56666666666666665</v>
      </c>
      <c r="D52" s="14">
        <v>0.60512820512820509</v>
      </c>
      <c r="E52" s="14">
        <v>0.79743589743589738</v>
      </c>
      <c r="F52" s="14">
        <v>0.79743589743589738</v>
      </c>
      <c r="G52" s="14">
        <v>0.79743589743589738</v>
      </c>
      <c r="H52" s="14">
        <v>1.3574358974358973</v>
      </c>
      <c r="I52" s="14">
        <v>1.6774358974358974</v>
      </c>
      <c r="J52" s="14">
        <v>1.8374358974358973</v>
      </c>
      <c r="K52" s="14">
        <v>2.1174358974358976</v>
      </c>
      <c r="L52" s="14">
        <v>2.1574358974358976</v>
      </c>
      <c r="M52" s="14">
        <v>2.3574358974358978</v>
      </c>
      <c r="N52" s="14">
        <v>2.597435897435898</v>
      </c>
      <c r="O52" s="14">
        <v>2.9174358974358978</v>
      </c>
      <c r="P52" s="14">
        <v>3.1574358974358976</v>
      </c>
      <c r="Q52" s="13">
        <f>AVERAGE(C52:P52)</f>
        <v>1.6957875457875455</v>
      </c>
    </row>
  </sheetData>
  <mergeCells count="10">
    <mergeCell ref="B2:H3"/>
    <mergeCell ref="B47:P47"/>
    <mergeCell ref="Q47:Q48"/>
    <mergeCell ref="B5:C5"/>
    <mergeCell ref="D5:G5"/>
    <mergeCell ref="H5:H6"/>
    <mergeCell ref="B38:P38"/>
    <mergeCell ref="Q38:Q39"/>
    <mergeCell ref="L5:Q10"/>
    <mergeCell ref="J5:K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417F5-B659-4375-9015-14C83A491E80}">
  <dimension ref="A2:GL56"/>
  <sheetViews>
    <sheetView zoomScale="115" workbookViewId="0">
      <selection activeCell="B7" sqref="B7"/>
    </sheetView>
  </sheetViews>
  <sheetFormatPr defaultRowHeight="15" x14ac:dyDescent="0.25"/>
  <cols>
    <col min="2" max="2" width="20.7109375" customWidth="1"/>
    <col min="18" max="18" width="20.28515625" customWidth="1"/>
    <col min="31" max="31" width="12.42578125" customWidth="1"/>
    <col min="32" max="32" width="15" customWidth="1"/>
    <col min="33" max="33" width="16.85546875" customWidth="1"/>
    <col min="34" max="34" width="16" customWidth="1"/>
    <col min="35" max="35" width="16.42578125" customWidth="1"/>
    <col min="36" max="36" width="21.5703125" customWidth="1"/>
    <col min="37" max="37" width="20.140625" customWidth="1"/>
    <col min="38" max="38" width="23" customWidth="1"/>
    <col min="39" max="39" width="28.42578125" customWidth="1"/>
  </cols>
  <sheetData>
    <row r="2" spans="1:194" x14ac:dyDescent="0.25">
      <c r="B2" s="70" t="s">
        <v>90</v>
      </c>
      <c r="C2" s="71" t="s">
        <v>94</v>
      </c>
      <c r="D2" s="71"/>
      <c r="E2" s="71"/>
      <c r="F2" s="71"/>
      <c r="G2" s="71"/>
      <c r="H2" s="71"/>
      <c r="I2" s="71"/>
      <c r="J2" s="71"/>
      <c r="K2" s="71"/>
      <c r="L2" s="71"/>
      <c r="M2" s="71"/>
      <c r="N2" s="71"/>
      <c r="O2" s="71"/>
      <c r="P2" s="71"/>
      <c r="Q2" s="71"/>
      <c r="R2" s="71"/>
      <c r="S2" s="71"/>
    </row>
    <row r="3" spans="1:194" x14ac:dyDescent="0.25">
      <c r="B3" s="70"/>
      <c r="C3" s="71"/>
      <c r="D3" s="71"/>
      <c r="E3" s="71"/>
      <c r="F3" s="71"/>
      <c r="G3" s="71"/>
      <c r="H3" s="71"/>
      <c r="I3" s="71"/>
      <c r="J3" s="71"/>
      <c r="K3" s="71"/>
      <c r="L3" s="71"/>
      <c r="M3" s="71"/>
      <c r="N3" s="71"/>
      <c r="O3" s="71"/>
      <c r="P3" s="71"/>
      <c r="Q3" s="71"/>
      <c r="R3" s="71"/>
      <c r="S3" s="71"/>
    </row>
    <row r="4" spans="1:194" x14ac:dyDescent="0.25">
      <c r="B4" s="70"/>
      <c r="C4" s="71"/>
      <c r="D4" s="71"/>
      <c r="E4" s="71"/>
      <c r="F4" s="71"/>
      <c r="G4" s="71"/>
      <c r="H4" s="71"/>
      <c r="I4" s="71"/>
      <c r="J4" s="71"/>
      <c r="K4" s="71"/>
      <c r="L4" s="71"/>
      <c r="M4" s="71"/>
      <c r="N4" s="71"/>
      <c r="O4" s="71"/>
      <c r="P4" s="71"/>
      <c r="Q4" s="71"/>
      <c r="R4" s="71"/>
      <c r="S4" s="71"/>
    </row>
    <row r="5" spans="1:194" x14ac:dyDescent="0.25">
      <c r="B5" s="50"/>
      <c r="C5" s="50"/>
      <c r="D5" s="50"/>
      <c r="E5" s="50"/>
      <c r="F5" s="50"/>
      <c r="G5" s="50"/>
      <c r="H5" s="50"/>
      <c r="I5" s="50"/>
      <c r="J5" s="50"/>
      <c r="K5" s="50"/>
      <c r="L5" s="50"/>
      <c r="M5" s="50"/>
      <c r="N5" s="50"/>
      <c r="O5" s="50"/>
      <c r="P5" s="50"/>
      <c r="Q5" s="50"/>
      <c r="R5" s="50"/>
      <c r="S5" s="50"/>
    </row>
    <row r="6" spans="1:194" x14ac:dyDescent="0.25">
      <c r="B6" s="50"/>
      <c r="C6" s="70" t="s">
        <v>93</v>
      </c>
      <c r="D6" s="54"/>
      <c r="E6" s="54"/>
      <c r="F6" s="54"/>
      <c r="G6" s="54"/>
      <c r="H6" s="54"/>
      <c r="I6" s="54"/>
      <c r="J6" s="54"/>
      <c r="K6" s="54"/>
      <c r="L6" s="54"/>
      <c r="M6" s="54"/>
      <c r="N6" s="54"/>
      <c r="O6" s="50"/>
      <c r="P6" s="50"/>
      <c r="Q6" s="50"/>
      <c r="R6" s="50"/>
      <c r="S6" s="50"/>
    </row>
    <row r="7" spans="1:194" ht="14.45" customHeight="1" x14ac:dyDescent="0.25">
      <c r="C7" s="54"/>
      <c r="D7" s="54"/>
      <c r="E7" s="54"/>
      <c r="F7" s="54"/>
      <c r="G7" s="54"/>
      <c r="H7" s="54"/>
      <c r="I7" s="54"/>
      <c r="J7" s="54"/>
      <c r="K7" s="54"/>
      <c r="L7" s="54"/>
      <c r="M7" s="54"/>
      <c r="N7" s="54"/>
    </row>
    <row r="8" spans="1:194" x14ac:dyDescent="0.25">
      <c r="Q8" s="51"/>
      <c r="R8" s="51"/>
      <c r="S8" s="62" t="s">
        <v>91</v>
      </c>
      <c r="T8" s="62"/>
      <c r="U8" s="62"/>
      <c r="V8" s="62"/>
      <c r="W8" s="62"/>
      <c r="X8" s="62"/>
      <c r="Y8" s="62"/>
      <c r="Z8" s="62"/>
      <c r="AA8" s="62"/>
      <c r="AB8" s="62"/>
      <c r="AC8" s="62"/>
    </row>
    <row r="9" spans="1:194" x14ac:dyDescent="0.25">
      <c r="A9" s="7"/>
      <c r="B9" s="7"/>
      <c r="C9" s="58" t="s">
        <v>46</v>
      </c>
      <c r="D9" s="58"/>
      <c r="E9" s="58"/>
      <c r="F9" s="58"/>
      <c r="G9" s="58"/>
      <c r="H9" s="58"/>
      <c r="I9" s="58"/>
      <c r="J9" s="58"/>
      <c r="K9" s="58"/>
      <c r="L9" s="58"/>
      <c r="M9" s="58"/>
      <c r="N9" s="2"/>
      <c r="Q9" s="2"/>
      <c r="R9" s="2"/>
      <c r="S9" s="55" t="s">
        <v>46</v>
      </c>
      <c r="T9" s="55"/>
      <c r="U9" s="55"/>
      <c r="V9" s="55"/>
      <c r="W9" s="55"/>
      <c r="X9" s="55"/>
      <c r="Y9" s="55"/>
      <c r="Z9" s="55"/>
      <c r="AA9" s="55"/>
      <c r="AB9" s="55"/>
      <c r="AC9" s="55"/>
    </row>
    <row r="10" spans="1:194" x14ac:dyDescent="0.25">
      <c r="A10" s="7" t="s">
        <v>47</v>
      </c>
      <c r="B10" s="16" t="s">
        <v>48</v>
      </c>
      <c r="C10" s="16">
        <v>0</v>
      </c>
      <c r="D10" s="16">
        <v>5</v>
      </c>
      <c r="E10" s="16">
        <v>10</v>
      </c>
      <c r="F10" s="16">
        <v>15</v>
      </c>
      <c r="G10" s="16">
        <v>20</v>
      </c>
      <c r="H10" s="16">
        <v>25</v>
      </c>
      <c r="I10" s="16">
        <v>30</v>
      </c>
      <c r="J10" s="16">
        <v>35</v>
      </c>
      <c r="K10" s="16">
        <v>40</v>
      </c>
      <c r="L10" s="16">
        <v>45</v>
      </c>
      <c r="M10" s="16">
        <v>50</v>
      </c>
      <c r="N10" s="7" t="s">
        <v>49</v>
      </c>
      <c r="Q10" s="7" t="s">
        <v>47</v>
      </c>
      <c r="R10" s="16" t="s">
        <v>48</v>
      </c>
      <c r="S10" s="16">
        <v>0</v>
      </c>
      <c r="T10" s="16">
        <v>5</v>
      </c>
      <c r="U10" s="16">
        <v>10</v>
      </c>
      <c r="V10" s="16">
        <v>15</v>
      </c>
      <c r="W10" s="16">
        <v>20</v>
      </c>
      <c r="X10" s="16">
        <v>25</v>
      </c>
      <c r="Y10" s="16">
        <v>30</v>
      </c>
      <c r="Z10" s="16">
        <v>35</v>
      </c>
      <c r="AA10" s="16">
        <v>40</v>
      </c>
      <c r="AB10" s="16">
        <v>45</v>
      </c>
      <c r="AC10" s="16">
        <v>50</v>
      </c>
      <c r="AD10" s="5"/>
    </row>
    <row r="11" spans="1:194" s="17" customFormat="1" x14ac:dyDescent="0.25">
      <c r="A11" s="17" t="s">
        <v>9</v>
      </c>
      <c r="B11" s="17" t="s">
        <v>50</v>
      </c>
      <c r="C11" s="17">
        <v>0</v>
      </c>
      <c r="D11" s="17">
        <v>0</v>
      </c>
      <c r="E11" s="17">
        <v>0</v>
      </c>
      <c r="F11" s="17">
        <v>0</v>
      </c>
      <c r="G11" s="17">
        <v>0</v>
      </c>
      <c r="H11" s="17">
        <v>0</v>
      </c>
      <c r="I11" s="17">
        <v>0</v>
      </c>
      <c r="J11" s="17">
        <v>0</v>
      </c>
      <c r="K11" s="17">
        <v>0</v>
      </c>
      <c r="L11" s="17">
        <v>0</v>
      </c>
      <c r="M11" s="17">
        <v>0</v>
      </c>
      <c r="N11" s="17">
        <v>12</v>
      </c>
      <c r="O11"/>
      <c r="P11"/>
      <c r="Q11" s="17" t="s">
        <v>9</v>
      </c>
      <c r="R11" s="17" t="s">
        <v>50</v>
      </c>
      <c r="S11" s="17">
        <f>(C11/N11)*100</f>
        <v>0</v>
      </c>
      <c r="T11" s="17">
        <f>(D11/N11)*100</f>
        <v>0</v>
      </c>
      <c r="U11" s="17">
        <f>(E11/N11)*100</f>
        <v>0</v>
      </c>
      <c r="V11" s="17">
        <f>(F11/N11)*100</f>
        <v>0</v>
      </c>
      <c r="W11" s="17">
        <f>(G11/N11)*100</f>
        <v>0</v>
      </c>
      <c r="X11" s="17">
        <f>(H11/N11)*100</f>
        <v>0</v>
      </c>
      <c r="Y11" s="17">
        <f>(I11/N11)*100</f>
        <v>0</v>
      </c>
      <c r="Z11" s="17">
        <f>(J11/N11)*100</f>
        <v>0</v>
      </c>
      <c r="AA11" s="17">
        <f>(K11/N11)*100</f>
        <v>0</v>
      </c>
      <c r="AB11" s="17">
        <f>(L11/N11)*100</f>
        <v>0</v>
      </c>
      <c r="AC11" s="17">
        <f>(M11/N11)*100</f>
        <v>0</v>
      </c>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s="18"/>
    </row>
    <row r="12" spans="1:194" s="17" customFormat="1" x14ac:dyDescent="0.25">
      <c r="A12" s="17" t="s">
        <v>10</v>
      </c>
      <c r="B12" s="17" t="s">
        <v>50</v>
      </c>
      <c r="C12" s="17">
        <v>0</v>
      </c>
      <c r="D12" s="17">
        <v>0</v>
      </c>
      <c r="E12" s="17">
        <v>0</v>
      </c>
      <c r="F12" s="17">
        <v>0</v>
      </c>
      <c r="G12" s="17">
        <v>0</v>
      </c>
      <c r="H12" s="17">
        <v>0</v>
      </c>
      <c r="I12" s="17">
        <v>0</v>
      </c>
      <c r="J12" s="17">
        <v>0</v>
      </c>
      <c r="K12" s="17">
        <v>0</v>
      </c>
      <c r="L12" s="17">
        <v>0</v>
      </c>
      <c r="M12" s="17">
        <v>0</v>
      </c>
      <c r="N12" s="17">
        <v>11</v>
      </c>
      <c r="O12"/>
      <c r="P12"/>
      <c r="Q12" s="17" t="s">
        <v>10</v>
      </c>
      <c r="R12" s="17" t="s">
        <v>50</v>
      </c>
      <c r="S12" s="17">
        <f t="shared" ref="S12:S42" si="0">(C12/N12)*100</f>
        <v>0</v>
      </c>
      <c r="T12" s="17">
        <f t="shared" ref="T12:T42" si="1">(D12/N12)*100</f>
        <v>0</v>
      </c>
      <c r="U12" s="17">
        <f t="shared" ref="U12:U42" si="2">(E12/N12)*100</f>
        <v>0</v>
      </c>
      <c r="V12" s="17">
        <f t="shared" ref="V12:V42" si="3">(F12/N12)*100</f>
        <v>0</v>
      </c>
      <c r="W12" s="17">
        <f t="shared" ref="W12:W42" si="4">(G12/N12)*100</f>
        <v>0</v>
      </c>
      <c r="X12" s="17">
        <f t="shared" ref="X12:X42" si="5">(H12/N12)*100</f>
        <v>0</v>
      </c>
      <c r="Y12" s="17">
        <f t="shared" ref="Y12:Y42" si="6">(I12/N12)*100</f>
        <v>0</v>
      </c>
      <c r="Z12" s="17">
        <f t="shared" ref="Z12:Z42" si="7">(J12/N12)*100</f>
        <v>0</v>
      </c>
      <c r="AA12" s="17">
        <f t="shared" ref="AA12:AA42" si="8">(K12/N12)*100</f>
        <v>0</v>
      </c>
      <c r="AB12" s="17">
        <f t="shared" ref="AB12:AB42" si="9">(L12/N12)*100</f>
        <v>0</v>
      </c>
      <c r="AC12" s="17">
        <f t="shared" ref="AC12:AC42" si="10">(M12/N12)*100</f>
        <v>0</v>
      </c>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s="18"/>
    </row>
    <row r="13" spans="1:194" s="17" customFormat="1" x14ac:dyDescent="0.25">
      <c r="A13" s="17" t="s">
        <v>11</v>
      </c>
      <c r="B13" s="17" t="s">
        <v>50</v>
      </c>
      <c r="C13" s="17">
        <v>0</v>
      </c>
      <c r="D13" s="17">
        <v>0</v>
      </c>
      <c r="E13" s="17">
        <v>0</v>
      </c>
      <c r="F13" s="17">
        <v>0</v>
      </c>
      <c r="G13" s="17">
        <v>0</v>
      </c>
      <c r="H13" s="17">
        <v>0</v>
      </c>
      <c r="I13" s="17">
        <v>0</v>
      </c>
      <c r="J13" s="17">
        <v>0</v>
      </c>
      <c r="K13" s="17">
        <v>0</v>
      </c>
      <c r="L13" s="17">
        <v>0</v>
      </c>
      <c r="M13" s="17">
        <v>0</v>
      </c>
      <c r="N13" s="17">
        <v>14</v>
      </c>
      <c r="O13"/>
      <c r="P13"/>
      <c r="Q13" s="17" t="s">
        <v>11</v>
      </c>
      <c r="R13" s="17" t="s">
        <v>50</v>
      </c>
      <c r="S13" s="17">
        <f t="shared" si="0"/>
        <v>0</v>
      </c>
      <c r="T13" s="17">
        <f t="shared" si="1"/>
        <v>0</v>
      </c>
      <c r="U13" s="17">
        <f t="shared" si="2"/>
        <v>0</v>
      </c>
      <c r="V13" s="17">
        <f t="shared" si="3"/>
        <v>0</v>
      </c>
      <c r="W13" s="17">
        <f t="shared" si="4"/>
        <v>0</v>
      </c>
      <c r="X13" s="17">
        <f t="shared" si="5"/>
        <v>0</v>
      </c>
      <c r="Y13" s="17">
        <f t="shared" si="6"/>
        <v>0</v>
      </c>
      <c r="Z13" s="17">
        <f t="shared" si="7"/>
        <v>0</v>
      </c>
      <c r="AA13" s="17">
        <f t="shared" si="8"/>
        <v>0</v>
      </c>
      <c r="AB13" s="17">
        <f t="shared" si="9"/>
        <v>0</v>
      </c>
      <c r="AC13" s="17">
        <f t="shared" si="10"/>
        <v>0</v>
      </c>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s="18"/>
    </row>
    <row r="14" spans="1:194" s="17" customFormat="1" x14ac:dyDescent="0.25">
      <c r="A14" s="17" t="s">
        <v>12</v>
      </c>
      <c r="B14" s="17" t="s">
        <v>50</v>
      </c>
      <c r="C14" s="17">
        <v>0</v>
      </c>
      <c r="D14" s="17">
        <v>0</v>
      </c>
      <c r="E14" s="17">
        <v>0</v>
      </c>
      <c r="F14" s="17">
        <v>0</v>
      </c>
      <c r="G14" s="17">
        <v>0</v>
      </c>
      <c r="H14" s="17">
        <v>0</v>
      </c>
      <c r="I14" s="17">
        <v>0</v>
      </c>
      <c r="J14" s="17">
        <v>0</v>
      </c>
      <c r="K14" s="17">
        <v>0</v>
      </c>
      <c r="L14" s="17">
        <v>0</v>
      </c>
      <c r="M14" s="17">
        <v>0</v>
      </c>
      <c r="N14" s="17">
        <v>10</v>
      </c>
      <c r="O14"/>
      <c r="P14"/>
      <c r="Q14" s="17" t="s">
        <v>12</v>
      </c>
      <c r="R14" s="17" t="s">
        <v>50</v>
      </c>
      <c r="S14" s="17">
        <f t="shared" si="0"/>
        <v>0</v>
      </c>
      <c r="T14" s="17">
        <f t="shared" si="1"/>
        <v>0</v>
      </c>
      <c r="U14" s="17">
        <f t="shared" si="2"/>
        <v>0</v>
      </c>
      <c r="V14" s="17">
        <f t="shared" si="3"/>
        <v>0</v>
      </c>
      <c r="W14" s="17">
        <f t="shared" si="4"/>
        <v>0</v>
      </c>
      <c r="X14" s="17">
        <f t="shared" si="5"/>
        <v>0</v>
      </c>
      <c r="Y14" s="17">
        <f t="shared" si="6"/>
        <v>0</v>
      </c>
      <c r="Z14" s="17">
        <f t="shared" si="7"/>
        <v>0</v>
      </c>
      <c r="AA14" s="17">
        <f t="shared" si="8"/>
        <v>0</v>
      </c>
      <c r="AB14" s="17">
        <f t="shared" si="9"/>
        <v>0</v>
      </c>
      <c r="AC14" s="17">
        <f t="shared" si="10"/>
        <v>0</v>
      </c>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s="18"/>
    </row>
    <row r="15" spans="1:194" s="19" customFormat="1" x14ac:dyDescent="0.25">
      <c r="A15" s="19" t="s">
        <v>9</v>
      </c>
      <c r="B15" s="19" t="s">
        <v>51</v>
      </c>
      <c r="C15" s="19">
        <v>0</v>
      </c>
      <c r="D15" s="19">
        <v>8</v>
      </c>
      <c r="E15" s="19">
        <v>11</v>
      </c>
      <c r="F15" s="19">
        <v>11</v>
      </c>
      <c r="G15" s="19">
        <v>11</v>
      </c>
      <c r="H15" s="19">
        <v>11</v>
      </c>
      <c r="I15" s="19">
        <v>11</v>
      </c>
      <c r="J15" s="19">
        <v>11</v>
      </c>
      <c r="K15" s="19">
        <v>11</v>
      </c>
      <c r="L15" s="19">
        <v>11</v>
      </c>
      <c r="M15" s="19">
        <v>11</v>
      </c>
      <c r="N15" s="19">
        <v>11</v>
      </c>
      <c r="O15"/>
      <c r="P15"/>
      <c r="Q15" s="19" t="s">
        <v>9</v>
      </c>
      <c r="R15" s="19" t="s">
        <v>51</v>
      </c>
      <c r="S15" s="17">
        <f t="shared" si="0"/>
        <v>0</v>
      </c>
      <c r="T15" s="17">
        <f t="shared" si="1"/>
        <v>72.727272727272734</v>
      </c>
      <c r="U15" s="17">
        <f t="shared" si="2"/>
        <v>100</v>
      </c>
      <c r="V15" s="17">
        <f t="shared" si="3"/>
        <v>100</v>
      </c>
      <c r="W15" s="17">
        <f t="shared" si="4"/>
        <v>100</v>
      </c>
      <c r="X15" s="17">
        <f t="shared" si="5"/>
        <v>100</v>
      </c>
      <c r="Y15" s="17">
        <f t="shared" si="6"/>
        <v>100</v>
      </c>
      <c r="Z15" s="17">
        <f t="shared" si="7"/>
        <v>100</v>
      </c>
      <c r="AA15" s="17">
        <f t="shared" si="8"/>
        <v>100</v>
      </c>
      <c r="AB15" s="17">
        <f t="shared" si="9"/>
        <v>100</v>
      </c>
      <c r="AC15" s="17">
        <f t="shared" si="10"/>
        <v>100</v>
      </c>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s="20"/>
    </row>
    <row r="16" spans="1:194" s="19" customFormat="1" x14ac:dyDescent="0.25">
      <c r="A16" s="19" t="s">
        <v>10</v>
      </c>
      <c r="B16" s="19" t="s">
        <v>51</v>
      </c>
      <c r="C16" s="19">
        <v>0</v>
      </c>
      <c r="D16" s="19">
        <v>9</v>
      </c>
      <c r="E16" s="19">
        <v>13</v>
      </c>
      <c r="F16" s="19">
        <v>13</v>
      </c>
      <c r="G16" s="19">
        <v>13</v>
      </c>
      <c r="H16" s="19">
        <v>13</v>
      </c>
      <c r="I16" s="19">
        <v>13</v>
      </c>
      <c r="J16" s="19">
        <v>13</v>
      </c>
      <c r="K16" s="19">
        <v>13</v>
      </c>
      <c r="L16" s="19">
        <v>13</v>
      </c>
      <c r="M16" s="19">
        <v>13</v>
      </c>
      <c r="N16" s="19">
        <v>13</v>
      </c>
      <c r="O16"/>
      <c r="P16"/>
      <c r="Q16" s="19" t="s">
        <v>10</v>
      </c>
      <c r="R16" s="19" t="s">
        <v>51</v>
      </c>
      <c r="S16" s="17">
        <f t="shared" si="0"/>
        <v>0</v>
      </c>
      <c r="T16" s="17">
        <f t="shared" si="1"/>
        <v>69.230769230769226</v>
      </c>
      <c r="U16" s="17">
        <f t="shared" si="2"/>
        <v>100</v>
      </c>
      <c r="V16" s="17">
        <f t="shared" si="3"/>
        <v>100</v>
      </c>
      <c r="W16" s="17">
        <f t="shared" si="4"/>
        <v>100</v>
      </c>
      <c r="X16" s="17">
        <f t="shared" si="5"/>
        <v>100</v>
      </c>
      <c r="Y16" s="17">
        <f t="shared" si="6"/>
        <v>100</v>
      </c>
      <c r="Z16" s="17">
        <f t="shared" si="7"/>
        <v>100</v>
      </c>
      <c r="AA16" s="17">
        <f t="shared" si="8"/>
        <v>100</v>
      </c>
      <c r="AB16" s="17">
        <f t="shared" si="9"/>
        <v>100</v>
      </c>
      <c r="AC16" s="17">
        <f t="shared" si="10"/>
        <v>100</v>
      </c>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s="20"/>
    </row>
    <row r="17" spans="1:194" s="19" customFormat="1" x14ac:dyDescent="0.25">
      <c r="A17" s="19" t="s">
        <v>11</v>
      </c>
      <c r="B17" s="19" t="s">
        <v>51</v>
      </c>
      <c r="C17" s="19">
        <v>0</v>
      </c>
      <c r="D17" s="19">
        <v>9</v>
      </c>
      <c r="E17" s="19">
        <v>11</v>
      </c>
      <c r="F17" s="19">
        <v>11</v>
      </c>
      <c r="G17" s="19">
        <v>11</v>
      </c>
      <c r="H17" s="19">
        <v>11</v>
      </c>
      <c r="I17" s="19">
        <v>11</v>
      </c>
      <c r="J17" s="19">
        <v>11</v>
      </c>
      <c r="K17" s="19">
        <v>11</v>
      </c>
      <c r="L17" s="19">
        <v>11</v>
      </c>
      <c r="M17" s="19">
        <v>11</v>
      </c>
      <c r="N17" s="19">
        <v>11</v>
      </c>
      <c r="O17"/>
      <c r="P17"/>
      <c r="Q17" s="19" t="s">
        <v>11</v>
      </c>
      <c r="R17" s="19" t="s">
        <v>51</v>
      </c>
      <c r="S17" s="17">
        <f t="shared" si="0"/>
        <v>0</v>
      </c>
      <c r="T17" s="17">
        <f t="shared" si="1"/>
        <v>81.818181818181827</v>
      </c>
      <c r="U17" s="17">
        <f t="shared" si="2"/>
        <v>100</v>
      </c>
      <c r="V17" s="17">
        <f t="shared" si="3"/>
        <v>100</v>
      </c>
      <c r="W17" s="17">
        <f t="shared" si="4"/>
        <v>100</v>
      </c>
      <c r="X17" s="17">
        <f t="shared" si="5"/>
        <v>100</v>
      </c>
      <c r="Y17" s="17">
        <f t="shared" si="6"/>
        <v>100</v>
      </c>
      <c r="Z17" s="17">
        <f t="shared" si="7"/>
        <v>100</v>
      </c>
      <c r="AA17" s="17">
        <f t="shared" si="8"/>
        <v>100</v>
      </c>
      <c r="AB17" s="17">
        <f t="shared" si="9"/>
        <v>100</v>
      </c>
      <c r="AC17" s="17">
        <f t="shared" si="10"/>
        <v>100</v>
      </c>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s="20"/>
    </row>
    <row r="18" spans="1:194" s="19" customFormat="1" x14ac:dyDescent="0.25">
      <c r="A18" s="19" t="s">
        <v>12</v>
      </c>
      <c r="B18" s="19" t="s">
        <v>51</v>
      </c>
      <c r="C18" s="19">
        <v>0</v>
      </c>
      <c r="D18" s="19">
        <v>9</v>
      </c>
      <c r="E18" s="19">
        <v>11</v>
      </c>
      <c r="F18" s="19">
        <v>12</v>
      </c>
      <c r="G18" s="19">
        <v>12</v>
      </c>
      <c r="H18" s="19">
        <v>12</v>
      </c>
      <c r="I18" s="19">
        <v>12</v>
      </c>
      <c r="J18" s="19">
        <v>12</v>
      </c>
      <c r="K18" s="19">
        <v>12</v>
      </c>
      <c r="L18" s="19">
        <v>12</v>
      </c>
      <c r="M18" s="19">
        <v>12</v>
      </c>
      <c r="N18" s="19">
        <v>12</v>
      </c>
      <c r="O18"/>
      <c r="P18"/>
      <c r="Q18" s="19" t="s">
        <v>12</v>
      </c>
      <c r="R18" s="19" t="s">
        <v>51</v>
      </c>
      <c r="S18" s="17">
        <f t="shared" si="0"/>
        <v>0</v>
      </c>
      <c r="T18" s="17">
        <f t="shared" si="1"/>
        <v>75</v>
      </c>
      <c r="U18" s="17">
        <f t="shared" si="2"/>
        <v>91.666666666666657</v>
      </c>
      <c r="V18" s="17">
        <f t="shared" si="3"/>
        <v>100</v>
      </c>
      <c r="W18" s="17">
        <f t="shared" si="4"/>
        <v>100</v>
      </c>
      <c r="X18" s="17">
        <f t="shared" si="5"/>
        <v>100</v>
      </c>
      <c r="Y18" s="17">
        <f t="shared" si="6"/>
        <v>100</v>
      </c>
      <c r="Z18" s="17">
        <f t="shared" si="7"/>
        <v>100</v>
      </c>
      <c r="AA18" s="17">
        <f t="shared" si="8"/>
        <v>100</v>
      </c>
      <c r="AB18" s="17">
        <f t="shared" si="9"/>
        <v>100</v>
      </c>
      <c r="AC18" s="17">
        <f t="shared" si="10"/>
        <v>100</v>
      </c>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s="20"/>
    </row>
    <row r="19" spans="1:194" s="21" customFormat="1" x14ac:dyDescent="0.25">
      <c r="A19" s="21" t="s">
        <v>9</v>
      </c>
      <c r="B19" s="21" t="s">
        <v>52</v>
      </c>
      <c r="C19" s="21">
        <v>0</v>
      </c>
      <c r="D19" s="21">
        <v>0</v>
      </c>
      <c r="E19" s="21">
        <v>0</v>
      </c>
      <c r="F19" s="21">
        <v>0</v>
      </c>
      <c r="G19" s="21">
        <v>0</v>
      </c>
      <c r="H19" s="21">
        <v>0</v>
      </c>
      <c r="I19" s="21">
        <v>0</v>
      </c>
      <c r="J19" s="21">
        <v>0</v>
      </c>
      <c r="K19" s="21">
        <v>0</v>
      </c>
      <c r="L19" s="21">
        <v>0</v>
      </c>
      <c r="M19" s="21">
        <v>0</v>
      </c>
      <c r="N19" s="21">
        <v>15</v>
      </c>
      <c r="O19"/>
      <c r="P19"/>
      <c r="Q19" s="21" t="s">
        <v>9</v>
      </c>
      <c r="R19" s="21" t="s">
        <v>52</v>
      </c>
      <c r="S19" s="17">
        <f t="shared" si="0"/>
        <v>0</v>
      </c>
      <c r="T19" s="17">
        <f t="shared" si="1"/>
        <v>0</v>
      </c>
      <c r="U19" s="17">
        <f t="shared" si="2"/>
        <v>0</v>
      </c>
      <c r="V19" s="17">
        <f t="shared" si="3"/>
        <v>0</v>
      </c>
      <c r="W19" s="17">
        <f t="shared" si="4"/>
        <v>0</v>
      </c>
      <c r="X19" s="17">
        <f t="shared" si="5"/>
        <v>0</v>
      </c>
      <c r="Y19" s="17">
        <f t="shared" si="6"/>
        <v>0</v>
      </c>
      <c r="Z19" s="17">
        <f t="shared" si="7"/>
        <v>0</v>
      </c>
      <c r="AA19" s="17">
        <f t="shared" si="8"/>
        <v>0</v>
      </c>
      <c r="AB19" s="17">
        <f t="shared" si="9"/>
        <v>0</v>
      </c>
      <c r="AC19" s="17">
        <f t="shared" si="10"/>
        <v>0</v>
      </c>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s="22"/>
    </row>
    <row r="20" spans="1:194" s="21" customFormat="1" x14ac:dyDescent="0.25">
      <c r="A20" s="21" t="s">
        <v>10</v>
      </c>
      <c r="B20" s="21" t="s">
        <v>52</v>
      </c>
      <c r="C20" s="21">
        <v>0</v>
      </c>
      <c r="D20" s="21">
        <v>0</v>
      </c>
      <c r="E20" s="21">
        <v>0</v>
      </c>
      <c r="F20" s="21">
        <v>0</v>
      </c>
      <c r="G20" s="21">
        <v>0</v>
      </c>
      <c r="H20" s="21">
        <v>0</v>
      </c>
      <c r="I20" s="21">
        <v>0</v>
      </c>
      <c r="J20" s="21">
        <v>0</v>
      </c>
      <c r="K20" s="21">
        <v>0</v>
      </c>
      <c r="L20" s="21">
        <v>0</v>
      </c>
      <c r="M20" s="21">
        <v>0</v>
      </c>
      <c r="N20" s="21">
        <v>10</v>
      </c>
      <c r="O20"/>
      <c r="P20"/>
      <c r="Q20" s="21" t="s">
        <v>10</v>
      </c>
      <c r="R20" s="21" t="s">
        <v>52</v>
      </c>
      <c r="S20" s="17">
        <f t="shared" si="0"/>
        <v>0</v>
      </c>
      <c r="T20" s="17">
        <f t="shared" si="1"/>
        <v>0</v>
      </c>
      <c r="U20" s="17">
        <f t="shared" si="2"/>
        <v>0</v>
      </c>
      <c r="V20" s="17">
        <f t="shared" si="3"/>
        <v>0</v>
      </c>
      <c r="W20" s="17">
        <f t="shared" si="4"/>
        <v>0</v>
      </c>
      <c r="X20" s="17">
        <f t="shared" si="5"/>
        <v>0</v>
      </c>
      <c r="Y20" s="17">
        <f t="shared" si="6"/>
        <v>0</v>
      </c>
      <c r="Z20" s="17">
        <f t="shared" si="7"/>
        <v>0</v>
      </c>
      <c r="AA20" s="17">
        <f t="shared" si="8"/>
        <v>0</v>
      </c>
      <c r="AB20" s="17">
        <f t="shared" si="9"/>
        <v>0</v>
      </c>
      <c r="AC20" s="17">
        <f t="shared" si="10"/>
        <v>0</v>
      </c>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s="22"/>
    </row>
    <row r="21" spans="1:194" s="21" customFormat="1" x14ac:dyDescent="0.25">
      <c r="A21" s="21" t="s">
        <v>11</v>
      </c>
      <c r="B21" s="21" t="s">
        <v>52</v>
      </c>
      <c r="C21" s="21">
        <v>0</v>
      </c>
      <c r="D21" s="21">
        <v>0</v>
      </c>
      <c r="E21" s="21">
        <v>0</v>
      </c>
      <c r="F21" s="21">
        <v>0</v>
      </c>
      <c r="G21" s="21">
        <v>0</v>
      </c>
      <c r="H21" s="21">
        <v>0</v>
      </c>
      <c r="I21" s="21">
        <v>0</v>
      </c>
      <c r="J21" s="21">
        <v>0</v>
      </c>
      <c r="K21" s="21">
        <v>0</v>
      </c>
      <c r="L21" s="21">
        <v>0</v>
      </c>
      <c r="M21" s="21">
        <v>0</v>
      </c>
      <c r="N21" s="21">
        <v>11</v>
      </c>
      <c r="O21"/>
      <c r="P21"/>
      <c r="Q21" s="21" t="s">
        <v>11</v>
      </c>
      <c r="R21" s="21" t="s">
        <v>52</v>
      </c>
      <c r="S21" s="17">
        <f t="shared" si="0"/>
        <v>0</v>
      </c>
      <c r="T21" s="17">
        <f t="shared" si="1"/>
        <v>0</v>
      </c>
      <c r="U21" s="17">
        <f t="shared" si="2"/>
        <v>0</v>
      </c>
      <c r="V21" s="17">
        <f t="shared" si="3"/>
        <v>0</v>
      </c>
      <c r="W21" s="17">
        <f t="shared" si="4"/>
        <v>0</v>
      </c>
      <c r="X21" s="17">
        <f t="shared" si="5"/>
        <v>0</v>
      </c>
      <c r="Y21" s="17">
        <f t="shared" si="6"/>
        <v>0</v>
      </c>
      <c r="Z21" s="17">
        <f t="shared" si="7"/>
        <v>0</v>
      </c>
      <c r="AA21" s="17">
        <f t="shared" si="8"/>
        <v>0</v>
      </c>
      <c r="AB21" s="17">
        <f t="shared" si="9"/>
        <v>0</v>
      </c>
      <c r="AC21" s="17">
        <f t="shared" si="10"/>
        <v>0</v>
      </c>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s="22"/>
    </row>
    <row r="22" spans="1:194" s="21" customFormat="1" x14ac:dyDescent="0.25">
      <c r="A22" s="21" t="s">
        <v>12</v>
      </c>
      <c r="B22" s="21" t="s">
        <v>52</v>
      </c>
      <c r="C22" s="21">
        <v>0</v>
      </c>
      <c r="D22" s="21">
        <v>0</v>
      </c>
      <c r="E22" s="21">
        <v>0</v>
      </c>
      <c r="F22" s="21">
        <v>0</v>
      </c>
      <c r="G22" s="21">
        <v>0</v>
      </c>
      <c r="H22" s="21">
        <v>0</v>
      </c>
      <c r="I22" s="21">
        <v>0</v>
      </c>
      <c r="J22" s="21">
        <v>0</v>
      </c>
      <c r="K22" s="21">
        <v>0</v>
      </c>
      <c r="L22" s="21">
        <v>0</v>
      </c>
      <c r="M22" s="21">
        <v>0</v>
      </c>
      <c r="N22" s="21">
        <v>12</v>
      </c>
      <c r="O22"/>
      <c r="P22"/>
      <c r="Q22" s="21" t="s">
        <v>12</v>
      </c>
      <c r="R22" s="21" t="s">
        <v>52</v>
      </c>
      <c r="S22" s="17">
        <f t="shared" si="0"/>
        <v>0</v>
      </c>
      <c r="T22" s="17">
        <f t="shared" si="1"/>
        <v>0</v>
      </c>
      <c r="U22" s="17">
        <f t="shared" si="2"/>
        <v>0</v>
      </c>
      <c r="V22" s="17">
        <f t="shared" si="3"/>
        <v>0</v>
      </c>
      <c r="W22" s="17">
        <f t="shared" si="4"/>
        <v>0</v>
      </c>
      <c r="X22" s="17">
        <f t="shared" si="5"/>
        <v>0</v>
      </c>
      <c r="Y22" s="17">
        <f t="shared" si="6"/>
        <v>0</v>
      </c>
      <c r="Z22" s="17">
        <f t="shared" si="7"/>
        <v>0</v>
      </c>
      <c r="AA22" s="17">
        <f t="shared" si="8"/>
        <v>0</v>
      </c>
      <c r="AB22" s="17">
        <f t="shared" si="9"/>
        <v>0</v>
      </c>
      <c r="AC22" s="17">
        <f t="shared" si="10"/>
        <v>0</v>
      </c>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s="22"/>
    </row>
    <row r="23" spans="1:194" s="23" customFormat="1" x14ac:dyDescent="0.25">
      <c r="A23" s="23" t="s">
        <v>9</v>
      </c>
      <c r="B23" s="23" t="s">
        <v>53</v>
      </c>
      <c r="C23" s="23">
        <v>0</v>
      </c>
      <c r="D23" s="23">
        <v>14</v>
      </c>
      <c r="E23" s="23">
        <v>16</v>
      </c>
      <c r="F23" s="23">
        <v>16</v>
      </c>
      <c r="G23" s="23">
        <v>16</v>
      </c>
      <c r="H23" s="23">
        <v>16</v>
      </c>
      <c r="I23" s="23">
        <v>16</v>
      </c>
      <c r="J23" s="23">
        <v>16</v>
      </c>
      <c r="K23" s="23">
        <v>16</v>
      </c>
      <c r="L23" s="23">
        <v>16</v>
      </c>
      <c r="M23" s="23">
        <v>16</v>
      </c>
      <c r="N23" s="23">
        <v>16</v>
      </c>
      <c r="O23"/>
      <c r="P23"/>
      <c r="Q23" s="23" t="s">
        <v>9</v>
      </c>
      <c r="R23" s="23" t="s">
        <v>53</v>
      </c>
      <c r="S23" s="17">
        <f t="shared" si="0"/>
        <v>0</v>
      </c>
      <c r="T23" s="17">
        <f t="shared" si="1"/>
        <v>87.5</v>
      </c>
      <c r="U23" s="17">
        <f t="shared" si="2"/>
        <v>100</v>
      </c>
      <c r="V23" s="17">
        <f t="shared" si="3"/>
        <v>100</v>
      </c>
      <c r="W23" s="17">
        <f t="shared" si="4"/>
        <v>100</v>
      </c>
      <c r="X23" s="17">
        <f t="shared" si="5"/>
        <v>100</v>
      </c>
      <c r="Y23" s="17">
        <f t="shared" si="6"/>
        <v>100</v>
      </c>
      <c r="Z23" s="17">
        <f t="shared" si="7"/>
        <v>100</v>
      </c>
      <c r="AA23" s="17">
        <f t="shared" si="8"/>
        <v>100</v>
      </c>
      <c r="AB23" s="17">
        <f t="shared" si="9"/>
        <v>100</v>
      </c>
      <c r="AC23" s="17">
        <f t="shared" si="10"/>
        <v>100</v>
      </c>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s="24"/>
    </row>
    <row r="24" spans="1:194" s="23" customFormat="1" x14ac:dyDescent="0.25">
      <c r="A24" s="23" t="s">
        <v>10</v>
      </c>
      <c r="B24" s="23" t="s">
        <v>53</v>
      </c>
      <c r="C24" s="23">
        <v>0</v>
      </c>
      <c r="D24" s="23">
        <v>15</v>
      </c>
      <c r="E24" s="23">
        <v>17</v>
      </c>
      <c r="F24" s="23">
        <v>17</v>
      </c>
      <c r="G24" s="23">
        <v>17</v>
      </c>
      <c r="H24" s="23">
        <v>17</v>
      </c>
      <c r="I24" s="23">
        <v>17</v>
      </c>
      <c r="J24" s="23">
        <v>17</v>
      </c>
      <c r="K24" s="23">
        <v>17</v>
      </c>
      <c r="L24" s="23">
        <v>17</v>
      </c>
      <c r="M24" s="23">
        <v>17</v>
      </c>
      <c r="N24" s="23">
        <v>17</v>
      </c>
      <c r="O24"/>
      <c r="P24"/>
      <c r="Q24" s="23" t="s">
        <v>10</v>
      </c>
      <c r="R24" s="23" t="s">
        <v>53</v>
      </c>
      <c r="S24" s="17">
        <f t="shared" si="0"/>
        <v>0</v>
      </c>
      <c r="T24" s="17">
        <f t="shared" si="1"/>
        <v>88.235294117647058</v>
      </c>
      <c r="U24" s="17">
        <f t="shared" si="2"/>
        <v>100</v>
      </c>
      <c r="V24" s="17">
        <f t="shared" si="3"/>
        <v>100</v>
      </c>
      <c r="W24" s="17">
        <f t="shared" si="4"/>
        <v>100</v>
      </c>
      <c r="X24" s="17">
        <f t="shared" si="5"/>
        <v>100</v>
      </c>
      <c r="Y24" s="17">
        <f t="shared" si="6"/>
        <v>100</v>
      </c>
      <c r="Z24" s="17">
        <f t="shared" si="7"/>
        <v>100</v>
      </c>
      <c r="AA24" s="17">
        <f t="shared" si="8"/>
        <v>100</v>
      </c>
      <c r="AB24" s="17">
        <f t="shared" si="9"/>
        <v>100</v>
      </c>
      <c r="AC24" s="17">
        <f t="shared" si="10"/>
        <v>100</v>
      </c>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s="24"/>
    </row>
    <row r="25" spans="1:194" s="23" customFormat="1" x14ac:dyDescent="0.25">
      <c r="A25" s="23" t="s">
        <v>11</v>
      </c>
      <c r="B25" s="23" t="s">
        <v>53</v>
      </c>
      <c r="C25" s="23">
        <v>0</v>
      </c>
      <c r="D25" s="23">
        <v>14</v>
      </c>
      <c r="E25" s="23">
        <v>17</v>
      </c>
      <c r="F25" s="23">
        <v>17</v>
      </c>
      <c r="G25" s="23">
        <v>17</v>
      </c>
      <c r="H25" s="23">
        <v>17</v>
      </c>
      <c r="I25" s="23">
        <v>17</v>
      </c>
      <c r="J25" s="23">
        <v>17</v>
      </c>
      <c r="K25" s="23">
        <v>17</v>
      </c>
      <c r="L25" s="23">
        <v>17</v>
      </c>
      <c r="M25" s="23">
        <v>17</v>
      </c>
      <c r="N25" s="23">
        <v>17</v>
      </c>
      <c r="O25"/>
      <c r="P25"/>
      <c r="Q25" s="23" t="s">
        <v>11</v>
      </c>
      <c r="R25" s="23" t="s">
        <v>53</v>
      </c>
      <c r="S25" s="17">
        <f t="shared" si="0"/>
        <v>0</v>
      </c>
      <c r="T25" s="17">
        <f t="shared" si="1"/>
        <v>82.35294117647058</v>
      </c>
      <c r="U25" s="17">
        <f t="shared" si="2"/>
        <v>100</v>
      </c>
      <c r="V25" s="17">
        <f t="shared" si="3"/>
        <v>100</v>
      </c>
      <c r="W25" s="17">
        <f t="shared" si="4"/>
        <v>100</v>
      </c>
      <c r="X25" s="17">
        <f t="shared" si="5"/>
        <v>100</v>
      </c>
      <c r="Y25" s="17">
        <f t="shared" si="6"/>
        <v>100</v>
      </c>
      <c r="Z25" s="17">
        <f t="shared" si="7"/>
        <v>100</v>
      </c>
      <c r="AA25" s="17">
        <f t="shared" si="8"/>
        <v>100</v>
      </c>
      <c r="AB25" s="17">
        <f t="shared" si="9"/>
        <v>100</v>
      </c>
      <c r="AC25" s="17">
        <f t="shared" si="10"/>
        <v>100</v>
      </c>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s="24"/>
    </row>
    <row r="26" spans="1:194" s="23" customFormat="1" x14ac:dyDescent="0.25">
      <c r="A26" s="23" t="s">
        <v>12</v>
      </c>
      <c r="B26" s="23" t="s">
        <v>53</v>
      </c>
      <c r="C26" s="23">
        <v>0</v>
      </c>
      <c r="D26" s="23">
        <v>13</v>
      </c>
      <c r="E26" s="23">
        <v>15</v>
      </c>
      <c r="F26" s="23">
        <v>15</v>
      </c>
      <c r="G26" s="23">
        <v>15</v>
      </c>
      <c r="H26" s="23">
        <v>15</v>
      </c>
      <c r="I26" s="23">
        <v>15</v>
      </c>
      <c r="J26" s="23">
        <v>15</v>
      </c>
      <c r="K26" s="23">
        <v>15</v>
      </c>
      <c r="L26" s="23">
        <v>15</v>
      </c>
      <c r="M26" s="23">
        <v>15</v>
      </c>
      <c r="N26" s="23">
        <v>15</v>
      </c>
      <c r="O26"/>
      <c r="P26"/>
      <c r="Q26" s="23" t="s">
        <v>12</v>
      </c>
      <c r="R26" s="23" t="s">
        <v>53</v>
      </c>
      <c r="S26" s="17">
        <f t="shared" si="0"/>
        <v>0</v>
      </c>
      <c r="T26" s="17">
        <f t="shared" si="1"/>
        <v>86.666666666666671</v>
      </c>
      <c r="U26" s="17">
        <f t="shared" si="2"/>
        <v>100</v>
      </c>
      <c r="V26" s="17">
        <f t="shared" si="3"/>
        <v>100</v>
      </c>
      <c r="W26" s="17">
        <f t="shared" si="4"/>
        <v>100</v>
      </c>
      <c r="X26" s="17">
        <f t="shared" si="5"/>
        <v>100</v>
      </c>
      <c r="Y26" s="17">
        <f t="shared" si="6"/>
        <v>100</v>
      </c>
      <c r="Z26" s="17">
        <f t="shared" si="7"/>
        <v>100</v>
      </c>
      <c r="AA26" s="17">
        <f t="shared" si="8"/>
        <v>100</v>
      </c>
      <c r="AB26" s="17">
        <f t="shared" si="9"/>
        <v>100</v>
      </c>
      <c r="AC26" s="17">
        <f t="shared" si="10"/>
        <v>100</v>
      </c>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s="24"/>
    </row>
    <row r="27" spans="1:194" s="25" customFormat="1" x14ac:dyDescent="0.25">
      <c r="A27" s="25" t="s">
        <v>9</v>
      </c>
      <c r="B27" s="25" t="s">
        <v>54</v>
      </c>
      <c r="C27" s="25">
        <v>0</v>
      </c>
      <c r="D27" s="25">
        <v>0</v>
      </c>
      <c r="E27" s="25">
        <v>0</v>
      </c>
      <c r="F27" s="25">
        <v>0</v>
      </c>
      <c r="G27" s="25">
        <v>0</v>
      </c>
      <c r="H27" s="25">
        <v>0</v>
      </c>
      <c r="I27" s="25">
        <v>0</v>
      </c>
      <c r="J27" s="25">
        <v>0</v>
      </c>
      <c r="K27" s="25">
        <v>0</v>
      </c>
      <c r="L27" s="25">
        <v>0</v>
      </c>
      <c r="M27" s="25">
        <v>0</v>
      </c>
      <c r="N27" s="25">
        <v>13</v>
      </c>
      <c r="O27"/>
      <c r="P27"/>
      <c r="Q27" s="25" t="s">
        <v>9</v>
      </c>
      <c r="R27" s="25" t="s">
        <v>54</v>
      </c>
      <c r="S27" s="17">
        <f t="shared" si="0"/>
        <v>0</v>
      </c>
      <c r="T27" s="17">
        <f t="shared" si="1"/>
        <v>0</v>
      </c>
      <c r="U27" s="17">
        <f t="shared" si="2"/>
        <v>0</v>
      </c>
      <c r="V27" s="17">
        <f t="shared" si="3"/>
        <v>0</v>
      </c>
      <c r="W27" s="17">
        <f t="shared" si="4"/>
        <v>0</v>
      </c>
      <c r="X27" s="17">
        <f t="shared" si="5"/>
        <v>0</v>
      </c>
      <c r="Y27" s="17">
        <f t="shared" si="6"/>
        <v>0</v>
      </c>
      <c r="Z27" s="17">
        <f t="shared" si="7"/>
        <v>0</v>
      </c>
      <c r="AA27" s="17">
        <f t="shared" si="8"/>
        <v>0</v>
      </c>
      <c r="AB27" s="17">
        <f t="shared" si="9"/>
        <v>0</v>
      </c>
      <c r="AC27" s="17">
        <f t="shared" si="10"/>
        <v>0</v>
      </c>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s="26"/>
    </row>
    <row r="28" spans="1:194" s="25" customFormat="1" x14ac:dyDescent="0.25">
      <c r="A28" s="25" t="s">
        <v>10</v>
      </c>
      <c r="B28" s="25" t="s">
        <v>54</v>
      </c>
      <c r="C28" s="25">
        <v>0</v>
      </c>
      <c r="D28" s="25">
        <v>0</v>
      </c>
      <c r="E28" s="25">
        <v>0</v>
      </c>
      <c r="F28" s="25">
        <v>0</v>
      </c>
      <c r="G28" s="25">
        <v>0</v>
      </c>
      <c r="H28" s="25">
        <v>0</v>
      </c>
      <c r="I28" s="25">
        <v>0</v>
      </c>
      <c r="J28" s="25">
        <v>0</v>
      </c>
      <c r="K28" s="25">
        <v>0</v>
      </c>
      <c r="L28" s="25">
        <v>0</v>
      </c>
      <c r="M28" s="25">
        <v>0</v>
      </c>
      <c r="N28" s="25">
        <v>13</v>
      </c>
      <c r="O28"/>
      <c r="P28"/>
      <c r="Q28" s="25" t="s">
        <v>10</v>
      </c>
      <c r="R28" s="25" t="s">
        <v>54</v>
      </c>
      <c r="S28" s="17">
        <f t="shared" si="0"/>
        <v>0</v>
      </c>
      <c r="T28" s="17">
        <f t="shared" si="1"/>
        <v>0</v>
      </c>
      <c r="U28" s="17">
        <f t="shared" si="2"/>
        <v>0</v>
      </c>
      <c r="V28" s="17">
        <f t="shared" si="3"/>
        <v>0</v>
      </c>
      <c r="W28" s="17">
        <f t="shared" si="4"/>
        <v>0</v>
      </c>
      <c r="X28" s="17">
        <f t="shared" si="5"/>
        <v>0</v>
      </c>
      <c r="Y28" s="17">
        <f t="shared" si="6"/>
        <v>0</v>
      </c>
      <c r="Z28" s="17">
        <f t="shared" si="7"/>
        <v>0</v>
      </c>
      <c r="AA28" s="17">
        <f t="shared" si="8"/>
        <v>0</v>
      </c>
      <c r="AB28" s="17">
        <f t="shared" si="9"/>
        <v>0</v>
      </c>
      <c r="AC28" s="17">
        <f t="shared" si="10"/>
        <v>0</v>
      </c>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s="26"/>
    </row>
    <row r="29" spans="1:194" s="25" customFormat="1" x14ac:dyDescent="0.25">
      <c r="A29" s="25" t="s">
        <v>11</v>
      </c>
      <c r="B29" s="25" t="s">
        <v>54</v>
      </c>
      <c r="C29" s="25">
        <v>0</v>
      </c>
      <c r="D29" s="25">
        <v>0</v>
      </c>
      <c r="E29" s="25">
        <v>0</v>
      </c>
      <c r="F29" s="25">
        <v>0</v>
      </c>
      <c r="G29" s="25">
        <v>0</v>
      </c>
      <c r="H29" s="25">
        <v>0</v>
      </c>
      <c r="I29" s="25">
        <v>0</v>
      </c>
      <c r="J29" s="25">
        <v>0</v>
      </c>
      <c r="K29" s="25">
        <v>0</v>
      </c>
      <c r="L29" s="25">
        <v>0</v>
      </c>
      <c r="M29" s="25">
        <v>0</v>
      </c>
      <c r="N29" s="25">
        <v>13</v>
      </c>
      <c r="O29"/>
      <c r="P29"/>
      <c r="Q29" s="25" t="s">
        <v>11</v>
      </c>
      <c r="R29" s="25" t="s">
        <v>54</v>
      </c>
      <c r="S29" s="17">
        <f t="shared" si="0"/>
        <v>0</v>
      </c>
      <c r="T29" s="17">
        <f t="shared" si="1"/>
        <v>0</v>
      </c>
      <c r="U29" s="17">
        <f t="shared" si="2"/>
        <v>0</v>
      </c>
      <c r="V29" s="17">
        <f t="shared" si="3"/>
        <v>0</v>
      </c>
      <c r="W29" s="17">
        <f t="shared" si="4"/>
        <v>0</v>
      </c>
      <c r="X29" s="17">
        <f t="shared" si="5"/>
        <v>0</v>
      </c>
      <c r="Y29" s="17">
        <f t="shared" si="6"/>
        <v>0</v>
      </c>
      <c r="Z29" s="17">
        <f t="shared" si="7"/>
        <v>0</v>
      </c>
      <c r="AA29" s="17">
        <f t="shared" si="8"/>
        <v>0</v>
      </c>
      <c r="AB29" s="17">
        <f t="shared" si="9"/>
        <v>0</v>
      </c>
      <c r="AC29" s="17">
        <f t="shared" si="10"/>
        <v>0</v>
      </c>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s="26"/>
    </row>
    <row r="30" spans="1:194" s="25" customFormat="1" x14ac:dyDescent="0.25">
      <c r="A30" s="25" t="s">
        <v>12</v>
      </c>
      <c r="B30" s="25" t="s">
        <v>54</v>
      </c>
      <c r="C30" s="25">
        <v>0</v>
      </c>
      <c r="D30" s="25">
        <v>0</v>
      </c>
      <c r="E30" s="25">
        <v>0</v>
      </c>
      <c r="F30" s="25">
        <v>0</v>
      </c>
      <c r="G30" s="25">
        <v>0</v>
      </c>
      <c r="H30" s="25">
        <v>0</v>
      </c>
      <c r="I30" s="25">
        <v>0</v>
      </c>
      <c r="J30" s="25">
        <v>0</v>
      </c>
      <c r="K30" s="25">
        <v>0</v>
      </c>
      <c r="L30" s="25">
        <v>0</v>
      </c>
      <c r="M30" s="25">
        <v>0</v>
      </c>
      <c r="N30" s="25">
        <v>13</v>
      </c>
      <c r="O30"/>
      <c r="P30"/>
      <c r="Q30" s="25" t="s">
        <v>12</v>
      </c>
      <c r="R30" s="25" t="s">
        <v>54</v>
      </c>
      <c r="S30" s="17">
        <f t="shared" si="0"/>
        <v>0</v>
      </c>
      <c r="T30" s="17">
        <f t="shared" si="1"/>
        <v>0</v>
      </c>
      <c r="U30" s="17">
        <f t="shared" si="2"/>
        <v>0</v>
      </c>
      <c r="V30" s="17">
        <f t="shared" si="3"/>
        <v>0</v>
      </c>
      <c r="W30" s="17">
        <f t="shared" si="4"/>
        <v>0</v>
      </c>
      <c r="X30" s="17">
        <f t="shared" si="5"/>
        <v>0</v>
      </c>
      <c r="Y30" s="17">
        <f t="shared" si="6"/>
        <v>0</v>
      </c>
      <c r="Z30" s="17">
        <f t="shared" si="7"/>
        <v>0</v>
      </c>
      <c r="AA30" s="17">
        <f t="shared" si="8"/>
        <v>0</v>
      </c>
      <c r="AB30" s="17">
        <f t="shared" si="9"/>
        <v>0</v>
      </c>
      <c r="AC30" s="17">
        <f t="shared" si="10"/>
        <v>0</v>
      </c>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s="26"/>
    </row>
    <row r="31" spans="1:194" s="27" customFormat="1" x14ac:dyDescent="0.25">
      <c r="A31" s="27" t="s">
        <v>9</v>
      </c>
      <c r="B31" s="27" t="s">
        <v>55</v>
      </c>
      <c r="C31" s="27">
        <v>0</v>
      </c>
      <c r="D31" s="27">
        <v>0</v>
      </c>
      <c r="E31" s="27">
        <v>1</v>
      </c>
      <c r="F31" s="27">
        <v>1</v>
      </c>
      <c r="G31" s="27">
        <v>1</v>
      </c>
      <c r="H31" s="27">
        <v>4</v>
      </c>
      <c r="I31" s="27">
        <v>9</v>
      </c>
      <c r="J31" s="27">
        <v>11</v>
      </c>
      <c r="K31" s="27">
        <v>12</v>
      </c>
      <c r="L31" s="27">
        <v>13</v>
      </c>
      <c r="M31" s="27">
        <v>13</v>
      </c>
      <c r="N31" s="27">
        <v>13</v>
      </c>
      <c r="O31"/>
      <c r="P31"/>
      <c r="Q31" s="27" t="s">
        <v>9</v>
      </c>
      <c r="R31" s="27" t="s">
        <v>55</v>
      </c>
      <c r="S31" s="17">
        <f t="shared" si="0"/>
        <v>0</v>
      </c>
      <c r="T31" s="17">
        <f t="shared" si="1"/>
        <v>0</v>
      </c>
      <c r="U31" s="17">
        <f t="shared" si="2"/>
        <v>7.6923076923076925</v>
      </c>
      <c r="V31" s="17">
        <f t="shared" si="3"/>
        <v>7.6923076923076925</v>
      </c>
      <c r="W31" s="17">
        <f t="shared" si="4"/>
        <v>7.6923076923076925</v>
      </c>
      <c r="X31" s="17">
        <f t="shared" si="5"/>
        <v>30.76923076923077</v>
      </c>
      <c r="Y31" s="17">
        <f t="shared" si="6"/>
        <v>69.230769230769226</v>
      </c>
      <c r="Z31" s="17">
        <f t="shared" si="7"/>
        <v>84.615384615384613</v>
      </c>
      <c r="AA31" s="17">
        <f t="shared" si="8"/>
        <v>92.307692307692307</v>
      </c>
      <c r="AB31" s="17">
        <f t="shared" si="9"/>
        <v>100</v>
      </c>
      <c r="AC31" s="17">
        <f t="shared" si="10"/>
        <v>100</v>
      </c>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s="28"/>
    </row>
    <row r="32" spans="1:194" s="27" customFormat="1" x14ac:dyDescent="0.25">
      <c r="A32" s="27" t="s">
        <v>10</v>
      </c>
      <c r="B32" s="27" t="s">
        <v>55</v>
      </c>
      <c r="C32" s="27">
        <v>0</v>
      </c>
      <c r="D32" s="27">
        <v>0</v>
      </c>
      <c r="E32" s="27">
        <v>0</v>
      </c>
      <c r="F32" s="27">
        <v>0</v>
      </c>
      <c r="G32" s="27">
        <v>3</v>
      </c>
      <c r="H32" s="27">
        <v>7</v>
      </c>
      <c r="I32" s="27">
        <v>9</v>
      </c>
      <c r="J32" s="27">
        <v>11</v>
      </c>
      <c r="K32" s="27">
        <v>11</v>
      </c>
      <c r="L32" s="27">
        <v>11</v>
      </c>
      <c r="M32" s="27">
        <v>12</v>
      </c>
      <c r="N32" s="27">
        <v>12</v>
      </c>
      <c r="O32"/>
      <c r="P32"/>
      <c r="Q32" s="27" t="s">
        <v>10</v>
      </c>
      <c r="R32" s="27" t="s">
        <v>55</v>
      </c>
      <c r="S32" s="17">
        <f t="shared" si="0"/>
        <v>0</v>
      </c>
      <c r="T32" s="17">
        <f t="shared" si="1"/>
        <v>0</v>
      </c>
      <c r="U32" s="17">
        <f t="shared" si="2"/>
        <v>0</v>
      </c>
      <c r="V32" s="17">
        <f t="shared" si="3"/>
        <v>0</v>
      </c>
      <c r="W32" s="17">
        <f t="shared" si="4"/>
        <v>25</v>
      </c>
      <c r="X32" s="17">
        <f t="shared" si="5"/>
        <v>58.333333333333336</v>
      </c>
      <c r="Y32" s="17">
        <f t="shared" si="6"/>
        <v>75</v>
      </c>
      <c r="Z32" s="17">
        <f t="shared" si="7"/>
        <v>91.666666666666657</v>
      </c>
      <c r="AA32" s="17">
        <f t="shared" si="8"/>
        <v>91.666666666666657</v>
      </c>
      <c r="AB32" s="17">
        <f t="shared" si="9"/>
        <v>91.666666666666657</v>
      </c>
      <c r="AC32" s="17">
        <f t="shared" si="10"/>
        <v>100</v>
      </c>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s="28"/>
    </row>
    <row r="33" spans="1:194" s="27" customFormat="1" x14ac:dyDescent="0.25">
      <c r="A33" s="27" t="s">
        <v>11</v>
      </c>
      <c r="B33" s="27" t="s">
        <v>55</v>
      </c>
      <c r="C33" s="27">
        <v>0</v>
      </c>
      <c r="D33" s="27">
        <v>0</v>
      </c>
      <c r="E33" s="27">
        <v>0</v>
      </c>
      <c r="F33" s="27">
        <v>0</v>
      </c>
      <c r="G33" s="27">
        <v>3</v>
      </c>
      <c r="H33" s="27">
        <v>6</v>
      </c>
      <c r="I33" s="27">
        <v>10</v>
      </c>
      <c r="J33" s="27">
        <v>11</v>
      </c>
      <c r="K33" s="27">
        <v>12</v>
      </c>
      <c r="L33" s="27">
        <v>12</v>
      </c>
      <c r="M33" s="27">
        <v>12</v>
      </c>
      <c r="N33" s="27">
        <v>12</v>
      </c>
      <c r="O33"/>
      <c r="P33"/>
      <c r="Q33" s="27" t="s">
        <v>11</v>
      </c>
      <c r="R33" s="27" t="s">
        <v>55</v>
      </c>
      <c r="S33" s="17">
        <f t="shared" si="0"/>
        <v>0</v>
      </c>
      <c r="T33" s="17">
        <f t="shared" si="1"/>
        <v>0</v>
      </c>
      <c r="U33" s="17">
        <f t="shared" si="2"/>
        <v>0</v>
      </c>
      <c r="V33" s="17">
        <f t="shared" si="3"/>
        <v>0</v>
      </c>
      <c r="W33" s="17">
        <f t="shared" si="4"/>
        <v>25</v>
      </c>
      <c r="X33" s="17">
        <f t="shared" si="5"/>
        <v>50</v>
      </c>
      <c r="Y33" s="17">
        <f t="shared" si="6"/>
        <v>83.333333333333343</v>
      </c>
      <c r="Z33" s="17">
        <f t="shared" si="7"/>
        <v>91.666666666666657</v>
      </c>
      <c r="AA33" s="17">
        <f t="shared" si="8"/>
        <v>100</v>
      </c>
      <c r="AB33" s="17">
        <f t="shared" si="9"/>
        <v>100</v>
      </c>
      <c r="AC33" s="17">
        <f t="shared" si="10"/>
        <v>100</v>
      </c>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s="28"/>
    </row>
    <row r="34" spans="1:194" s="27" customFormat="1" x14ac:dyDescent="0.25">
      <c r="A34" s="27" t="s">
        <v>12</v>
      </c>
      <c r="B34" s="27" t="s">
        <v>55</v>
      </c>
      <c r="C34" s="27">
        <v>0</v>
      </c>
      <c r="D34" s="27">
        <v>0</v>
      </c>
      <c r="E34" s="27">
        <v>0</v>
      </c>
      <c r="F34" s="27">
        <v>0</v>
      </c>
      <c r="G34" s="27">
        <v>2</v>
      </c>
      <c r="H34" s="27">
        <v>8</v>
      </c>
      <c r="I34" s="27">
        <v>11</v>
      </c>
      <c r="J34" s="27">
        <v>12</v>
      </c>
      <c r="K34" s="27">
        <v>13</v>
      </c>
      <c r="L34" s="27">
        <v>13</v>
      </c>
      <c r="M34" s="27">
        <v>13</v>
      </c>
      <c r="N34" s="27">
        <v>13</v>
      </c>
      <c r="O34"/>
      <c r="P34"/>
      <c r="Q34" s="27" t="s">
        <v>12</v>
      </c>
      <c r="R34" s="27" t="s">
        <v>55</v>
      </c>
      <c r="S34" s="17">
        <f t="shared" si="0"/>
        <v>0</v>
      </c>
      <c r="T34" s="17">
        <f t="shared" si="1"/>
        <v>0</v>
      </c>
      <c r="U34" s="17">
        <f t="shared" si="2"/>
        <v>0</v>
      </c>
      <c r="V34" s="17">
        <f t="shared" si="3"/>
        <v>0</v>
      </c>
      <c r="W34" s="17">
        <f t="shared" si="4"/>
        <v>15.384615384615385</v>
      </c>
      <c r="X34" s="17">
        <f t="shared" si="5"/>
        <v>61.53846153846154</v>
      </c>
      <c r="Y34" s="17">
        <f t="shared" si="6"/>
        <v>84.615384615384613</v>
      </c>
      <c r="Z34" s="17">
        <f t="shared" si="7"/>
        <v>92.307692307692307</v>
      </c>
      <c r="AA34" s="17">
        <f t="shared" si="8"/>
        <v>100</v>
      </c>
      <c r="AB34" s="17">
        <f t="shared" si="9"/>
        <v>100</v>
      </c>
      <c r="AC34" s="17">
        <f t="shared" si="10"/>
        <v>100</v>
      </c>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s="28"/>
    </row>
    <row r="35" spans="1:194" s="29" customFormat="1" x14ac:dyDescent="0.25">
      <c r="A35" s="29" t="s">
        <v>9</v>
      </c>
      <c r="B35" s="29" t="s">
        <v>56</v>
      </c>
      <c r="C35" s="29">
        <v>0</v>
      </c>
      <c r="D35" s="29">
        <v>0</v>
      </c>
      <c r="E35" s="29">
        <v>0</v>
      </c>
      <c r="F35" s="29">
        <v>0</v>
      </c>
      <c r="G35" s="29">
        <v>0</v>
      </c>
      <c r="H35" s="29">
        <v>0</v>
      </c>
      <c r="I35" s="29">
        <v>0</v>
      </c>
      <c r="J35" s="29">
        <v>0</v>
      </c>
      <c r="K35" s="29">
        <v>0</v>
      </c>
      <c r="L35" s="29">
        <v>0</v>
      </c>
      <c r="M35" s="29">
        <v>0</v>
      </c>
      <c r="N35" s="29">
        <v>15</v>
      </c>
      <c r="O35"/>
      <c r="P35"/>
      <c r="Q35" s="29" t="s">
        <v>9</v>
      </c>
      <c r="R35" s="29" t="s">
        <v>56</v>
      </c>
      <c r="S35" s="17">
        <f t="shared" si="0"/>
        <v>0</v>
      </c>
      <c r="T35" s="17">
        <f t="shared" si="1"/>
        <v>0</v>
      </c>
      <c r="U35" s="17">
        <f t="shared" si="2"/>
        <v>0</v>
      </c>
      <c r="V35" s="17">
        <f t="shared" si="3"/>
        <v>0</v>
      </c>
      <c r="W35" s="17">
        <f t="shared" si="4"/>
        <v>0</v>
      </c>
      <c r="X35" s="17">
        <f t="shared" si="5"/>
        <v>0</v>
      </c>
      <c r="Y35" s="17">
        <f t="shared" si="6"/>
        <v>0</v>
      </c>
      <c r="Z35" s="17">
        <f t="shared" si="7"/>
        <v>0</v>
      </c>
      <c r="AA35" s="17">
        <f t="shared" si="8"/>
        <v>0</v>
      </c>
      <c r="AB35" s="17">
        <f t="shared" si="9"/>
        <v>0</v>
      </c>
      <c r="AC35" s="17">
        <f t="shared" si="10"/>
        <v>0</v>
      </c>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s="30"/>
    </row>
    <row r="36" spans="1:194" s="29" customFormat="1" x14ac:dyDescent="0.25">
      <c r="A36" s="29" t="s">
        <v>10</v>
      </c>
      <c r="B36" s="29" t="s">
        <v>56</v>
      </c>
      <c r="C36" s="29">
        <v>0</v>
      </c>
      <c r="D36" s="29">
        <v>0</v>
      </c>
      <c r="E36" s="29">
        <v>0</v>
      </c>
      <c r="F36" s="29">
        <v>0</v>
      </c>
      <c r="G36" s="29">
        <v>0</v>
      </c>
      <c r="H36" s="29">
        <v>0</v>
      </c>
      <c r="I36" s="29">
        <v>0</v>
      </c>
      <c r="J36" s="29">
        <v>0</v>
      </c>
      <c r="K36" s="29">
        <v>0</v>
      </c>
      <c r="L36" s="29">
        <v>0</v>
      </c>
      <c r="M36" s="29">
        <v>0</v>
      </c>
      <c r="N36" s="29">
        <v>15</v>
      </c>
      <c r="O36"/>
      <c r="P36"/>
      <c r="Q36" s="29" t="s">
        <v>10</v>
      </c>
      <c r="R36" s="29" t="s">
        <v>56</v>
      </c>
      <c r="S36" s="17">
        <f t="shared" si="0"/>
        <v>0</v>
      </c>
      <c r="T36" s="17">
        <f t="shared" si="1"/>
        <v>0</v>
      </c>
      <c r="U36" s="17">
        <f t="shared" si="2"/>
        <v>0</v>
      </c>
      <c r="V36" s="17">
        <f t="shared" si="3"/>
        <v>0</v>
      </c>
      <c r="W36" s="17">
        <f t="shared" si="4"/>
        <v>0</v>
      </c>
      <c r="X36" s="17">
        <f t="shared" si="5"/>
        <v>0</v>
      </c>
      <c r="Y36" s="17">
        <f t="shared" si="6"/>
        <v>0</v>
      </c>
      <c r="Z36" s="17">
        <f t="shared" si="7"/>
        <v>0</v>
      </c>
      <c r="AA36" s="17">
        <f t="shared" si="8"/>
        <v>0</v>
      </c>
      <c r="AB36" s="17">
        <f t="shared" si="9"/>
        <v>0</v>
      </c>
      <c r="AC36" s="17">
        <f t="shared" si="10"/>
        <v>0</v>
      </c>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s="30"/>
    </row>
    <row r="37" spans="1:194" s="29" customFormat="1" x14ac:dyDescent="0.25">
      <c r="A37" s="29" t="s">
        <v>11</v>
      </c>
      <c r="B37" s="29" t="s">
        <v>56</v>
      </c>
      <c r="C37" s="29">
        <v>0</v>
      </c>
      <c r="D37" s="29">
        <v>0</v>
      </c>
      <c r="E37" s="29">
        <v>0</v>
      </c>
      <c r="F37" s="29">
        <v>0</v>
      </c>
      <c r="G37" s="29">
        <v>0</v>
      </c>
      <c r="H37" s="29">
        <v>0</v>
      </c>
      <c r="I37" s="29">
        <v>0</v>
      </c>
      <c r="J37" s="29">
        <v>0</v>
      </c>
      <c r="K37" s="29">
        <v>0</v>
      </c>
      <c r="L37" s="29">
        <v>0</v>
      </c>
      <c r="M37" s="29">
        <v>0</v>
      </c>
      <c r="N37" s="29">
        <v>15</v>
      </c>
      <c r="O37"/>
      <c r="P37"/>
      <c r="Q37" s="29" t="s">
        <v>11</v>
      </c>
      <c r="R37" s="29" t="s">
        <v>56</v>
      </c>
      <c r="S37" s="17">
        <f t="shared" si="0"/>
        <v>0</v>
      </c>
      <c r="T37" s="17">
        <f t="shared" si="1"/>
        <v>0</v>
      </c>
      <c r="U37" s="17">
        <f t="shared" si="2"/>
        <v>0</v>
      </c>
      <c r="V37" s="17">
        <f t="shared" si="3"/>
        <v>0</v>
      </c>
      <c r="W37" s="17">
        <f t="shared" si="4"/>
        <v>0</v>
      </c>
      <c r="X37" s="17">
        <f t="shared" si="5"/>
        <v>0</v>
      </c>
      <c r="Y37" s="17">
        <f t="shared" si="6"/>
        <v>0</v>
      </c>
      <c r="Z37" s="17">
        <f t="shared" si="7"/>
        <v>0</v>
      </c>
      <c r="AA37" s="17">
        <f t="shared" si="8"/>
        <v>0</v>
      </c>
      <c r="AB37" s="17">
        <f t="shared" si="9"/>
        <v>0</v>
      </c>
      <c r="AC37" s="17">
        <f t="shared" si="10"/>
        <v>0</v>
      </c>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s="30"/>
    </row>
    <row r="38" spans="1:194" s="29" customFormat="1" x14ac:dyDescent="0.25">
      <c r="A38" s="29" t="s">
        <v>12</v>
      </c>
      <c r="B38" s="29" t="s">
        <v>56</v>
      </c>
      <c r="C38" s="29">
        <v>0</v>
      </c>
      <c r="D38" s="29">
        <v>0</v>
      </c>
      <c r="E38" s="29">
        <v>0</v>
      </c>
      <c r="F38" s="29">
        <v>0</v>
      </c>
      <c r="G38" s="29">
        <v>0</v>
      </c>
      <c r="H38" s="29">
        <v>0</v>
      </c>
      <c r="I38" s="29">
        <v>0</v>
      </c>
      <c r="J38" s="29">
        <v>0</v>
      </c>
      <c r="K38" s="29">
        <v>0</v>
      </c>
      <c r="L38" s="29">
        <v>0</v>
      </c>
      <c r="M38" s="29">
        <v>0</v>
      </c>
      <c r="N38" s="29">
        <v>15</v>
      </c>
      <c r="O38"/>
      <c r="P38"/>
      <c r="Q38" s="29" t="s">
        <v>12</v>
      </c>
      <c r="R38" s="29" t="s">
        <v>56</v>
      </c>
      <c r="S38" s="17">
        <f t="shared" si="0"/>
        <v>0</v>
      </c>
      <c r="T38" s="17">
        <f t="shared" si="1"/>
        <v>0</v>
      </c>
      <c r="U38" s="17">
        <f t="shared" si="2"/>
        <v>0</v>
      </c>
      <c r="V38" s="17">
        <f t="shared" si="3"/>
        <v>0</v>
      </c>
      <c r="W38" s="17">
        <f t="shared" si="4"/>
        <v>0</v>
      </c>
      <c r="X38" s="17">
        <f t="shared" si="5"/>
        <v>0</v>
      </c>
      <c r="Y38" s="17">
        <f t="shared" si="6"/>
        <v>0</v>
      </c>
      <c r="Z38" s="17">
        <f t="shared" si="7"/>
        <v>0</v>
      </c>
      <c r="AA38" s="17">
        <f t="shared" si="8"/>
        <v>0</v>
      </c>
      <c r="AB38" s="17">
        <f t="shared" si="9"/>
        <v>0</v>
      </c>
      <c r="AC38" s="17">
        <f t="shared" si="10"/>
        <v>0</v>
      </c>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s="30"/>
    </row>
    <row r="39" spans="1:194" s="31" customFormat="1" x14ac:dyDescent="0.25">
      <c r="A39" s="31" t="s">
        <v>9</v>
      </c>
      <c r="B39" s="31" t="s">
        <v>57</v>
      </c>
      <c r="C39" s="31">
        <v>0</v>
      </c>
      <c r="D39" s="31">
        <v>0</v>
      </c>
      <c r="E39" s="31">
        <v>0</v>
      </c>
      <c r="F39" s="31">
        <v>0</v>
      </c>
      <c r="G39" s="31">
        <v>9</v>
      </c>
      <c r="H39" s="31">
        <v>11</v>
      </c>
      <c r="I39" s="31">
        <v>12</v>
      </c>
      <c r="J39" s="31">
        <v>13</v>
      </c>
      <c r="K39" s="31">
        <v>13</v>
      </c>
      <c r="L39" s="31">
        <v>14</v>
      </c>
      <c r="M39" s="31">
        <v>14</v>
      </c>
      <c r="N39" s="31">
        <v>14</v>
      </c>
      <c r="O39"/>
      <c r="P39"/>
      <c r="Q39" s="31" t="s">
        <v>9</v>
      </c>
      <c r="R39" s="31" t="s">
        <v>57</v>
      </c>
      <c r="S39" s="17">
        <f t="shared" si="0"/>
        <v>0</v>
      </c>
      <c r="T39" s="17">
        <f t="shared" si="1"/>
        <v>0</v>
      </c>
      <c r="U39" s="17">
        <f t="shared" si="2"/>
        <v>0</v>
      </c>
      <c r="V39" s="17">
        <f t="shared" si="3"/>
        <v>0</v>
      </c>
      <c r="W39" s="17">
        <f t="shared" si="4"/>
        <v>64.285714285714292</v>
      </c>
      <c r="X39" s="17">
        <f t="shared" si="5"/>
        <v>78.571428571428569</v>
      </c>
      <c r="Y39" s="17">
        <f t="shared" si="6"/>
        <v>85.714285714285708</v>
      </c>
      <c r="Z39" s="17">
        <f t="shared" si="7"/>
        <v>92.857142857142861</v>
      </c>
      <c r="AA39" s="17">
        <f t="shared" si="8"/>
        <v>92.857142857142861</v>
      </c>
      <c r="AB39" s="17">
        <f t="shared" si="9"/>
        <v>100</v>
      </c>
      <c r="AC39" s="17">
        <f t="shared" si="10"/>
        <v>100</v>
      </c>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s="32"/>
    </row>
    <row r="40" spans="1:194" s="31" customFormat="1" x14ac:dyDescent="0.25">
      <c r="A40" s="31" t="s">
        <v>10</v>
      </c>
      <c r="B40" s="31" t="s">
        <v>57</v>
      </c>
      <c r="C40" s="31">
        <v>0</v>
      </c>
      <c r="D40" s="31">
        <v>0</v>
      </c>
      <c r="E40" s="31">
        <v>0</v>
      </c>
      <c r="F40" s="31">
        <v>0</v>
      </c>
      <c r="G40" s="31">
        <v>9</v>
      </c>
      <c r="H40" s="31">
        <v>11</v>
      </c>
      <c r="I40" s="31">
        <v>11</v>
      </c>
      <c r="J40" s="31">
        <v>11</v>
      </c>
      <c r="K40" s="31">
        <v>13</v>
      </c>
      <c r="L40" s="31">
        <v>14</v>
      </c>
      <c r="M40" s="31">
        <v>14</v>
      </c>
      <c r="N40" s="31">
        <v>14</v>
      </c>
      <c r="O40"/>
      <c r="P40"/>
      <c r="Q40" s="31" t="s">
        <v>10</v>
      </c>
      <c r="R40" s="31" t="s">
        <v>57</v>
      </c>
      <c r="S40" s="17">
        <f t="shared" si="0"/>
        <v>0</v>
      </c>
      <c r="T40" s="17">
        <f t="shared" si="1"/>
        <v>0</v>
      </c>
      <c r="U40" s="17">
        <f t="shared" si="2"/>
        <v>0</v>
      </c>
      <c r="V40" s="17">
        <f t="shared" si="3"/>
        <v>0</v>
      </c>
      <c r="W40" s="17">
        <f t="shared" si="4"/>
        <v>64.285714285714292</v>
      </c>
      <c r="X40" s="17">
        <f t="shared" si="5"/>
        <v>78.571428571428569</v>
      </c>
      <c r="Y40" s="17">
        <f t="shared" si="6"/>
        <v>78.571428571428569</v>
      </c>
      <c r="Z40" s="17">
        <f t="shared" si="7"/>
        <v>78.571428571428569</v>
      </c>
      <c r="AA40" s="17">
        <f t="shared" si="8"/>
        <v>92.857142857142861</v>
      </c>
      <c r="AB40" s="17">
        <f t="shared" si="9"/>
        <v>100</v>
      </c>
      <c r="AC40" s="17">
        <f t="shared" si="10"/>
        <v>100</v>
      </c>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s="32"/>
    </row>
    <row r="41" spans="1:194" s="31" customFormat="1" x14ac:dyDescent="0.25">
      <c r="A41" s="31" t="s">
        <v>11</v>
      </c>
      <c r="B41" s="31" t="s">
        <v>57</v>
      </c>
      <c r="C41" s="31">
        <v>0</v>
      </c>
      <c r="D41" s="31">
        <v>0</v>
      </c>
      <c r="E41" s="31">
        <v>0</v>
      </c>
      <c r="F41" s="31">
        <v>0</v>
      </c>
      <c r="G41" s="31">
        <v>16</v>
      </c>
      <c r="H41" s="31">
        <v>18</v>
      </c>
      <c r="I41" s="31">
        <v>18</v>
      </c>
      <c r="J41" s="31">
        <v>18</v>
      </c>
      <c r="K41" s="31">
        <v>20</v>
      </c>
      <c r="L41" s="31">
        <v>20</v>
      </c>
      <c r="M41" s="31">
        <v>20</v>
      </c>
      <c r="N41" s="31">
        <v>20</v>
      </c>
      <c r="O41"/>
      <c r="P41"/>
      <c r="Q41" s="31" t="s">
        <v>11</v>
      </c>
      <c r="R41" s="31" t="s">
        <v>57</v>
      </c>
      <c r="S41" s="17">
        <f t="shared" si="0"/>
        <v>0</v>
      </c>
      <c r="T41" s="17">
        <f t="shared" si="1"/>
        <v>0</v>
      </c>
      <c r="U41" s="17">
        <f t="shared" si="2"/>
        <v>0</v>
      </c>
      <c r="V41" s="17">
        <f t="shared" si="3"/>
        <v>0</v>
      </c>
      <c r="W41" s="17">
        <f t="shared" si="4"/>
        <v>80</v>
      </c>
      <c r="X41" s="17">
        <f t="shared" si="5"/>
        <v>90</v>
      </c>
      <c r="Y41" s="17">
        <f t="shared" si="6"/>
        <v>90</v>
      </c>
      <c r="Z41" s="17">
        <f t="shared" si="7"/>
        <v>90</v>
      </c>
      <c r="AA41" s="17">
        <f t="shared" si="8"/>
        <v>100</v>
      </c>
      <c r="AB41" s="17">
        <f t="shared" si="9"/>
        <v>100</v>
      </c>
      <c r="AC41" s="17">
        <f t="shared" si="10"/>
        <v>100</v>
      </c>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s="32"/>
    </row>
    <row r="42" spans="1:194" s="31" customFormat="1" x14ac:dyDescent="0.25">
      <c r="A42" s="31" t="s">
        <v>12</v>
      </c>
      <c r="B42" s="31" t="s">
        <v>57</v>
      </c>
      <c r="C42" s="31">
        <v>0</v>
      </c>
      <c r="D42" s="31">
        <v>0</v>
      </c>
      <c r="E42" s="31">
        <v>0</v>
      </c>
      <c r="F42" s="31">
        <v>0</v>
      </c>
      <c r="G42" s="33">
        <v>10</v>
      </c>
      <c r="H42" s="33">
        <v>12</v>
      </c>
      <c r="I42" s="33">
        <v>13</v>
      </c>
      <c r="J42" s="33">
        <v>15</v>
      </c>
      <c r="K42" s="33">
        <v>15</v>
      </c>
      <c r="L42" s="33">
        <v>16</v>
      </c>
      <c r="M42" s="33">
        <v>16</v>
      </c>
      <c r="N42" s="33">
        <v>16</v>
      </c>
      <c r="O42"/>
      <c r="P42"/>
      <c r="Q42" s="31" t="s">
        <v>12</v>
      </c>
      <c r="R42" s="31" t="s">
        <v>57</v>
      </c>
      <c r="S42" s="17">
        <f t="shared" si="0"/>
        <v>0</v>
      </c>
      <c r="T42" s="17">
        <f t="shared" si="1"/>
        <v>0</v>
      </c>
      <c r="U42" s="17">
        <f t="shared" si="2"/>
        <v>0</v>
      </c>
      <c r="V42" s="17">
        <f t="shared" si="3"/>
        <v>0</v>
      </c>
      <c r="W42" s="17">
        <f t="shared" si="4"/>
        <v>62.5</v>
      </c>
      <c r="X42" s="17">
        <f t="shared" si="5"/>
        <v>75</v>
      </c>
      <c r="Y42" s="17">
        <f t="shared" si="6"/>
        <v>81.25</v>
      </c>
      <c r="Z42" s="17">
        <f t="shared" si="7"/>
        <v>93.75</v>
      </c>
      <c r="AA42" s="17">
        <f t="shared" si="8"/>
        <v>93.75</v>
      </c>
      <c r="AB42" s="17">
        <f t="shared" si="9"/>
        <v>100</v>
      </c>
      <c r="AC42" s="17">
        <f t="shared" si="10"/>
        <v>100</v>
      </c>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s="32"/>
    </row>
    <row r="44" spans="1:194" x14ac:dyDescent="0.25">
      <c r="AE44" s="2"/>
      <c r="AF44" s="56" t="s">
        <v>58</v>
      </c>
      <c r="AG44" s="56"/>
      <c r="AH44" s="56"/>
      <c r="AI44" s="56"/>
      <c r="AJ44" s="56"/>
      <c r="AK44" s="56"/>
      <c r="AL44" s="56"/>
      <c r="AM44" s="56"/>
    </row>
    <row r="45" spans="1:194" ht="30" x14ac:dyDescent="0.25">
      <c r="Q45" s="2"/>
      <c r="R45" s="2"/>
      <c r="S45" s="55" t="s">
        <v>59</v>
      </c>
      <c r="T45" s="55"/>
      <c r="U45" s="55"/>
      <c r="V45" s="55"/>
      <c r="W45" s="55"/>
      <c r="X45" s="55"/>
      <c r="Y45" s="55"/>
      <c r="Z45" s="55"/>
      <c r="AA45" s="55"/>
      <c r="AB45" s="55"/>
      <c r="AC45" s="55"/>
      <c r="AE45" s="52" t="s">
        <v>92</v>
      </c>
      <c r="AF45" s="17" t="s">
        <v>50</v>
      </c>
      <c r="AG45" s="19" t="s">
        <v>51</v>
      </c>
      <c r="AH45" s="21" t="s">
        <v>52</v>
      </c>
      <c r="AI45" s="23" t="s">
        <v>53</v>
      </c>
      <c r="AJ45" s="25" t="s">
        <v>54</v>
      </c>
      <c r="AK45" s="27" t="s">
        <v>55</v>
      </c>
      <c r="AL45" s="29" t="s">
        <v>56</v>
      </c>
      <c r="AM45" s="31" t="s">
        <v>57</v>
      </c>
    </row>
    <row r="46" spans="1:194" x14ac:dyDescent="0.25">
      <c r="Q46" s="7"/>
      <c r="R46" s="34" t="s">
        <v>48</v>
      </c>
      <c r="S46" s="34">
        <v>0</v>
      </c>
      <c r="T46" s="34">
        <v>5</v>
      </c>
      <c r="U46" s="34">
        <v>10</v>
      </c>
      <c r="V46" s="34">
        <v>15</v>
      </c>
      <c r="W46" s="34">
        <v>20</v>
      </c>
      <c r="X46" s="34">
        <v>25</v>
      </c>
      <c r="Y46" s="34">
        <v>30</v>
      </c>
      <c r="Z46" s="34">
        <v>35</v>
      </c>
      <c r="AA46" s="34">
        <v>40</v>
      </c>
      <c r="AB46" s="34">
        <v>45</v>
      </c>
      <c r="AC46" s="34">
        <v>50</v>
      </c>
      <c r="AE46" s="34">
        <v>0</v>
      </c>
      <c r="AF46" s="2">
        <v>0</v>
      </c>
      <c r="AG46" s="2">
        <v>0</v>
      </c>
      <c r="AH46" s="2">
        <v>0</v>
      </c>
      <c r="AI46" s="2">
        <v>0</v>
      </c>
      <c r="AJ46" s="2">
        <v>0</v>
      </c>
      <c r="AK46" s="2">
        <v>0</v>
      </c>
      <c r="AL46" s="2">
        <v>0</v>
      </c>
      <c r="AM46" s="2">
        <v>0</v>
      </c>
    </row>
    <row r="47" spans="1:194" x14ac:dyDescent="0.25">
      <c r="Q47" s="17"/>
      <c r="R47" s="17" t="s">
        <v>50</v>
      </c>
      <c r="S47" s="2">
        <f>(AVERAGE(S11:S14))</f>
        <v>0</v>
      </c>
      <c r="T47" s="2">
        <f>AVERAGE(T11:T14)</f>
        <v>0</v>
      </c>
      <c r="U47" s="2">
        <v>0</v>
      </c>
      <c r="V47" s="2">
        <v>0</v>
      </c>
      <c r="W47" s="2">
        <v>0</v>
      </c>
      <c r="X47" s="2">
        <v>0</v>
      </c>
      <c r="Y47" s="2">
        <v>0</v>
      </c>
      <c r="Z47" s="2">
        <v>0</v>
      </c>
      <c r="AA47" s="2">
        <v>0</v>
      </c>
      <c r="AB47" s="2">
        <v>0</v>
      </c>
      <c r="AC47" s="2">
        <v>0</v>
      </c>
      <c r="AE47" s="34">
        <v>5</v>
      </c>
      <c r="AF47" s="2">
        <v>0</v>
      </c>
      <c r="AG47" s="2">
        <v>74.69</v>
      </c>
      <c r="AH47" s="2">
        <v>0</v>
      </c>
      <c r="AI47" s="2">
        <v>86.19</v>
      </c>
      <c r="AJ47" s="2">
        <v>0</v>
      </c>
      <c r="AK47" s="2">
        <v>0</v>
      </c>
      <c r="AL47" s="2">
        <v>0</v>
      </c>
      <c r="AM47" s="2">
        <v>0</v>
      </c>
    </row>
    <row r="48" spans="1:194" x14ac:dyDescent="0.25">
      <c r="Q48" s="19"/>
      <c r="R48" s="19" t="s">
        <v>51</v>
      </c>
      <c r="S48" s="2">
        <f>AVERAGE(S15:S18)</f>
        <v>0</v>
      </c>
      <c r="T48" s="2">
        <f>AVERAGE(T15:T18)</f>
        <v>74.694055944055947</v>
      </c>
      <c r="U48" s="2">
        <f>AVERAGE(U15:U18)</f>
        <v>97.916666666666657</v>
      </c>
      <c r="V48" s="2">
        <f t="shared" ref="V48:AC48" si="11">AVERAGE(V15:V18)</f>
        <v>100</v>
      </c>
      <c r="W48" s="2">
        <f t="shared" si="11"/>
        <v>100</v>
      </c>
      <c r="X48" s="2">
        <f t="shared" si="11"/>
        <v>100</v>
      </c>
      <c r="Y48" s="2">
        <f t="shared" si="11"/>
        <v>100</v>
      </c>
      <c r="Z48" s="2">
        <f t="shared" si="11"/>
        <v>100</v>
      </c>
      <c r="AA48" s="2">
        <f t="shared" si="11"/>
        <v>100</v>
      </c>
      <c r="AB48" s="2">
        <f t="shared" si="11"/>
        <v>100</v>
      </c>
      <c r="AC48" s="2">
        <f t="shared" si="11"/>
        <v>100</v>
      </c>
      <c r="AE48" s="34">
        <v>10</v>
      </c>
      <c r="AF48" s="2">
        <v>0</v>
      </c>
      <c r="AG48" s="2">
        <v>97.92</v>
      </c>
      <c r="AH48" s="2">
        <v>0</v>
      </c>
      <c r="AI48" s="2">
        <v>100</v>
      </c>
      <c r="AJ48" s="2">
        <v>0</v>
      </c>
      <c r="AK48" s="2">
        <v>1.92</v>
      </c>
      <c r="AL48" s="2">
        <v>0</v>
      </c>
      <c r="AM48" s="2">
        <v>0</v>
      </c>
    </row>
    <row r="49" spans="17:39" x14ac:dyDescent="0.25">
      <c r="Q49" s="21"/>
      <c r="R49" s="21" t="s">
        <v>52</v>
      </c>
      <c r="S49" s="2">
        <f>AVERAGE(S19:S22)</f>
        <v>0</v>
      </c>
      <c r="T49" s="2">
        <v>0</v>
      </c>
      <c r="U49" s="2">
        <v>0</v>
      </c>
      <c r="V49" s="2">
        <v>0</v>
      </c>
      <c r="W49" s="2">
        <v>0</v>
      </c>
      <c r="X49" s="2">
        <v>0</v>
      </c>
      <c r="Y49" s="2">
        <v>0</v>
      </c>
      <c r="Z49" s="2">
        <v>0</v>
      </c>
      <c r="AA49" s="2">
        <v>0</v>
      </c>
      <c r="AB49" s="2">
        <v>0</v>
      </c>
      <c r="AC49" s="2">
        <v>0</v>
      </c>
      <c r="AE49" s="34">
        <v>15</v>
      </c>
      <c r="AF49" s="2">
        <v>0</v>
      </c>
      <c r="AG49" s="2">
        <v>100</v>
      </c>
      <c r="AH49" s="2">
        <v>0</v>
      </c>
      <c r="AI49" s="2">
        <v>100</v>
      </c>
      <c r="AJ49" s="2">
        <v>0</v>
      </c>
      <c r="AK49" s="2">
        <v>1.92</v>
      </c>
      <c r="AL49" s="2">
        <v>0</v>
      </c>
      <c r="AM49" s="2">
        <v>0</v>
      </c>
    </row>
    <row r="50" spans="17:39" x14ac:dyDescent="0.25">
      <c r="Q50" s="23"/>
      <c r="R50" s="23" t="s">
        <v>53</v>
      </c>
      <c r="S50" s="2">
        <f>AVERAGE(S23:S26)</f>
        <v>0</v>
      </c>
      <c r="T50" s="2">
        <f>AVERAGE(T23:T26)</f>
        <v>86.188725490196092</v>
      </c>
      <c r="U50" s="2">
        <f>AVERAGE(U23:U26)</f>
        <v>100</v>
      </c>
      <c r="V50" s="2">
        <f t="shared" ref="V50:AC50" si="12">AVERAGE(V23:V26)</f>
        <v>100</v>
      </c>
      <c r="W50" s="2">
        <f t="shared" si="12"/>
        <v>100</v>
      </c>
      <c r="X50" s="2">
        <f t="shared" si="12"/>
        <v>100</v>
      </c>
      <c r="Y50" s="2">
        <f t="shared" si="12"/>
        <v>100</v>
      </c>
      <c r="Z50" s="2">
        <f t="shared" si="12"/>
        <v>100</v>
      </c>
      <c r="AA50" s="2">
        <f t="shared" si="12"/>
        <v>100</v>
      </c>
      <c r="AB50" s="2">
        <f t="shared" si="12"/>
        <v>100</v>
      </c>
      <c r="AC50" s="2">
        <f t="shared" si="12"/>
        <v>100</v>
      </c>
      <c r="AE50" s="34">
        <v>20</v>
      </c>
      <c r="AF50" s="2">
        <v>0</v>
      </c>
      <c r="AG50" s="2">
        <v>100</v>
      </c>
      <c r="AH50" s="2">
        <v>0</v>
      </c>
      <c r="AI50" s="2">
        <v>100</v>
      </c>
      <c r="AJ50" s="2">
        <v>0</v>
      </c>
      <c r="AK50" s="2">
        <v>18.27</v>
      </c>
      <c r="AL50" s="2">
        <v>0</v>
      </c>
      <c r="AM50" s="2">
        <v>67.77</v>
      </c>
    </row>
    <row r="51" spans="17:39" x14ac:dyDescent="0.25">
      <c r="Q51" s="25"/>
      <c r="R51" s="25" t="s">
        <v>54</v>
      </c>
      <c r="S51" s="2">
        <f>AVERAGE(S27:S30)</f>
        <v>0</v>
      </c>
      <c r="T51" s="2">
        <v>0</v>
      </c>
      <c r="U51" s="2">
        <v>0</v>
      </c>
      <c r="V51" s="2">
        <v>0</v>
      </c>
      <c r="W51" s="2">
        <v>0</v>
      </c>
      <c r="X51" s="2">
        <v>0</v>
      </c>
      <c r="Y51" s="2">
        <v>0</v>
      </c>
      <c r="Z51" s="2">
        <v>0</v>
      </c>
      <c r="AA51" s="2">
        <v>0</v>
      </c>
      <c r="AB51" s="2">
        <v>0</v>
      </c>
      <c r="AC51" s="2">
        <v>0</v>
      </c>
      <c r="AE51" s="34">
        <v>25</v>
      </c>
      <c r="AF51" s="2">
        <v>0</v>
      </c>
      <c r="AG51" s="2">
        <v>100</v>
      </c>
      <c r="AH51" s="2">
        <v>0</v>
      </c>
      <c r="AI51" s="2">
        <v>100</v>
      </c>
      <c r="AJ51" s="2">
        <v>0</v>
      </c>
      <c r="AK51" s="2">
        <v>50.16</v>
      </c>
      <c r="AL51" s="2">
        <v>0</v>
      </c>
      <c r="AM51" s="2">
        <v>80.540000000000006</v>
      </c>
    </row>
    <row r="52" spans="17:39" x14ac:dyDescent="0.25">
      <c r="Q52" s="27"/>
      <c r="R52" s="27" t="s">
        <v>55</v>
      </c>
      <c r="S52" s="2">
        <f>AVERAGE(S31:S34)</f>
        <v>0</v>
      </c>
      <c r="T52" s="2">
        <v>0</v>
      </c>
      <c r="U52" s="2">
        <f>AVERAGE(U31:U34)</f>
        <v>1.9230769230769231</v>
      </c>
      <c r="V52" s="2">
        <f>AVERAGE(V31:V34)</f>
        <v>1.9230769230769231</v>
      </c>
      <c r="W52" s="2">
        <f>AVERAGE(W31:W34)</f>
        <v>18.26923076923077</v>
      </c>
      <c r="X52" s="2">
        <f>AVERAGE(X31:X34)</f>
        <v>50.160256410256409</v>
      </c>
      <c r="Y52" s="2">
        <f t="shared" ref="Y52:AC52" si="13">AVERAGE(Y31:Y34)</f>
        <v>78.044871794871796</v>
      </c>
      <c r="Z52" s="2">
        <f t="shared" si="13"/>
        <v>90.064102564102555</v>
      </c>
      <c r="AA52" s="2">
        <f t="shared" si="13"/>
        <v>95.993589743589737</v>
      </c>
      <c r="AB52" s="2">
        <f t="shared" si="13"/>
        <v>97.916666666666657</v>
      </c>
      <c r="AC52" s="2">
        <f t="shared" si="13"/>
        <v>100</v>
      </c>
      <c r="AE52" s="34">
        <v>30</v>
      </c>
      <c r="AF52" s="2">
        <v>0</v>
      </c>
      <c r="AG52" s="2">
        <v>100</v>
      </c>
      <c r="AH52" s="2">
        <v>0</v>
      </c>
      <c r="AI52" s="2">
        <v>100</v>
      </c>
      <c r="AJ52" s="2">
        <v>0</v>
      </c>
      <c r="AK52" s="2">
        <v>78.05</v>
      </c>
      <c r="AL52" s="2">
        <v>0</v>
      </c>
      <c r="AM52" s="2">
        <v>83.88</v>
      </c>
    </row>
    <row r="53" spans="17:39" x14ac:dyDescent="0.25">
      <c r="Q53" s="29"/>
      <c r="R53" s="29" t="s">
        <v>56</v>
      </c>
      <c r="S53" s="2">
        <f>AVERAGE(S35:S38)</f>
        <v>0</v>
      </c>
      <c r="T53" s="2">
        <f t="shared" ref="T53:AC53" si="14">AVERAGE(T35:T38)</f>
        <v>0</v>
      </c>
      <c r="U53" s="2">
        <f t="shared" si="14"/>
        <v>0</v>
      </c>
      <c r="V53" s="2">
        <f t="shared" si="14"/>
        <v>0</v>
      </c>
      <c r="W53" s="2">
        <f t="shared" si="14"/>
        <v>0</v>
      </c>
      <c r="X53" s="2">
        <f t="shared" si="14"/>
        <v>0</v>
      </c>
      <c r="Y53" s="2">
        <f t="shared" si="14"/>
        <v>0</v>
      </c>
      <c r="Z53" s="2">
        <f t="shared" si="14"/>
        <v>0</v>
      </c>
      <c r="AA53" s="2">
        <f t="shared" si="14"/>
        <v>0</v>
      </c>
      <c r="AB53" s="2">
        <f t="shared" si="14"/>
        <v>0</v>
      </c>
      <c r="AC53" s="2">
        <f t="shared" si="14"/>
        <v>0</v>
      </c>
      <c r="AE53" s="34">
        <v>35</v>
      </c>
      <c r="AF53" s="2">
        <v>0</v>
      </c>
      <c r="AG53" s="2">
        <v>100</v>
      </c>
      <c r="AH53" s="2">
        <v>0</v>
      </c>
      <c r="AI53" s="2">
        <v>100</v>
      </c>
      <c r="AJ53" s="2">
        <v>0</v>
      </c>
      <c r="AK53" s="2">
        <v>90.07</v>
      </c>
      <c r="AL53" s="2">
        <v>0</v>
      </c>
      <c r="AM53" s="2">
        <v>88.8</v>
      </c>
    </row>
    <row r="54" spans="17:39" x14ac:dyDescent="0.25">
      <c r="Q54" s="31"/>
      <c r="R54" s="31" t="s">
        <v>57</v>
      </c>
      <c r="S54" s="2">
        <f>AVERAGE(S39:S42)</f>
        <v>0</v>
      </c>
      <c r="T54" s="2">
        <v>0</v>
      </c>
      <c r="U54" s="2">
        <f>AVERAGE(U39:U42)</f>
        <v>0</v>
      </c>
      <c r="V54" s="2">
        <f t="shared" ref="V54:AC54" si="15">AVERAGE(V39:V42)</f>
        <v>0</v>
      </c>
      <c r="W54" s="2">
        <f t="shared" si="15"/>
        <v>67.767857142857139</v>
      </c>
      <c r="X54" s="2">
        <f t="shared" si="15"/>
        <v>80.535714285714278</v>
      </c>
      <c r="Y54" s="2">
        <f t="shared" si="15"/>
        <v>83.883928571428569</v>
      </c>
      <c r="Z54" s="2">
        <f t="shared" si="15"/>
        <v>88.794642857142861</v>
      </c>
      <c r="AA54" s="2">
        <f t="shared" si="15"/>
        <v>94.866071428571431</v>
      </c>
      <c r="AB54" s="2">
        <f t="shared" si="15"/>
        <v>100</v>
      </c>
      <c r="AC54" s="2">
        <f t="shared" si="15"/>
        <v>100</v>
      </c>
      <c r="AE54" s="34">
        <v>40</v>
      </c>
      <c r="AF54" s="2">
        <v>0</v>
      </c>
      <c r="AG54" s="2">
        <v>100</v>
      </c>
      <c r="AH54" s="2">
        <v>0</v>
      </c>
      <c r="AI54" s="2">
        <v>100</v>
      </c>
      <c r="AJ54" s="2">
        <v>0</v>
      </c>
      <c r="AK54" s="2">
        <v>95.99</v>
      </c>
      <c r="AL54" s="2">
        <v>0</v>
      </c>
      <c r="AM54" s="2">
        <v>94.87</v>
      </c>
    </row>
    <row r="55" spans="17:39" x14ac:dyDescent="0.25">
      <c r="AE55" s="34">
        <v>45</v>
      </c>
      <c r="AF55" s="2">
        <v>0</v>
      </c>
      <c r="AG55" s="2">
        <v>100</v>
      </c>
      <c r="AH55" s="2">
        <v>0</v>
      </c>
      <c r="AI55" s="2">
        <v>100</v>
      </c>
      <c r="AJ55" s="2">
        <v>0</v>
      </c>
      <c r="AK55" s="2">
        <v>97.92</v>
      </c>
      <c r="AL55" s="2">
        <v>0</v>
      </c>
      <c r="AM55" s="2">
        <v>100</v>
      </c>
    </row>
    <row r="56" spans="17:39" x14ac:dyDescent="0.25">
      <c r="AE56" s="34">
        <v>50</v>
      </c>
      <c r="AF56" s="2">
        <v>0</v>
      </c>
      <c r="AG56" s="2">
        <v>100</v>
      </c>
      <c r="AH56" s="2">
        <v>0</v>
      </c>
      <c r="AI56" s="2">
        <v>100</v>
      </c>
      <c r="AJ56" s="2">
        <v>0</v>
      </c>
      <c r="AK56" s="2">
        <v>100</v>
      </c>
      <c r="AL56" s="2">
        <v>0</v>
      </c>
      <c r="AM56" s="2">
        <v>100</v>
      </c>
    </row>
  </sheetData>
  <mergeCells count="8">
    <mergeCell ref="AF44:AM44"/>
    <mergeCell ref="S45:AC45"/>
    <mergeCell ref="C2:S4"/>
    <mergeCell ref="B2:B4"/>
    <mergeCell ref="S8:AC8"/>
    <mergeCell ref="C6:N7"/>
    <mergeCell ref="C9:M9"/>
    <mergeCell ref="S9:AC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Fig1_ Wing length &amp; Body weight</vt:lpstr>
      <vt:lpstr>Fig2_Locomotor Activity(Female)</vt:lpstr>
      <vt:lpstr>Fig2_Locomotor Activity(Male)</vt:lpstr>
      <vt:lpstr>Fig3_Feeding Assay</vt:lpstr>
      <vt:lpstr>Fig4_Insecticide Resistant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Anjali</dc:creator>
  <cp:lastModifiedBy>Anjali Karki</cp:lastModifiedBy>
  <dcterms:created xsi:type="dcterms:W3CDTF">2015-06-05T18:17:20Z</dcterms:created>
  <dcterms:modified xsi:type="dcterms:W3CDTF">2025-05-02T16:15:20Z</dcterms:modified>
</cp:coreProperties>
</file>