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122"/>
  <workbookPr autoCompressPictures="0"/>
  <bookViews>
    <workbookView xWindow="5320" yWindow="1860" windowWidth="17760" windowHeight="14180" tabRatio="853"/>
  </bookViews>
  <sheets>
    <sheet name="Table S3" sheetId="4" r:id="rId1"/>
  </sheets>
  <definedNames>
    <definedName name="_xlnm.Print_Area" localSheetId="0">'Table S3'!$A$1:$J$56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55" i="4" l="1"/>
  <c r="I54" i="4"/>
  <c r="H53" i="4"/>
  <c r="F53" i="4"/>
  <c r="E53" i="4"/>
  <c r="I52" i="4"/>
  <c r="H52" i="4"/>
  <c r="F52" i="4"/>
  <c r="E52" i="4"/>
  <c r="I51" i="4"/>
  <c r="H51" i="4"/>
  <c r="F51" i="4"/>
  <c r="E51" i="4"/>
  <c r="F50" i="4"/>
  <c r="E50" i="4"/>
  <c r="I49" i="4"/>
  <c r="G49" i="4"/>
  <c r="H49" i="4"/>
  <c r="F49" i="4"/>
  <c r="E49" i="4"/>
  <c r="F48" i="4"/>
  <c r="E48" i="4"/>
  <c r="F47" i="4"/>
  <c r="E47" i="4"/>
  <c r="I46" i="4"/>
  <c r="G46" i="4"/>
  <c r="H46" i="4"/>
  <c r="F46" i="4"/>
  <c r="E46" i="4"/>
  <c r="I45" i="4"/>
  <c r="H45" i="4"/>
  <c r="F45" i="4"/>
  <c r="E45" i="4"/>
  <c r="H44" i="4"/>
  <c r="F44" i="4"/>
  <c r="E44" i="4"/>
  <c r="I43" i="4"/>
  <c r="H43" i="4"/>
  <c r="F43" i="4"/>
  <c r="E43" i="4"/>
  <c r="I42" i="4"/>
  <c r="H42" i="4"/>
  <c r="F42" i="4"/>
  <c r="E42" i="4"/>
  <c r="F41" i="4"/>
  <c r="E41" i="4"/>
  <c r="I40" i="4"/>
  <c r="G40" i="4"/>
  <c r="H40" i="4"/>
  <c r="F40" i="4"/>
  <c r="E40" i="4"/>
  <c r="H39" i="4"/>
  <c r="F39" i="4"/>
  <c r="E39" i="4"/>
  <c r="I38" i="4"/>
  <c r="H38" i="4"/>
  <c r="F38" i="4"/>
  <c r="E38" i="4"/>
  <c r="H37" i="4"/>
  <c r="F37" i="4"/>
  <c r="E37" i="4"/>
  <c r="F36" i="4"/>
  <c r="E36" i="4"/>
  <c r="I35" i="4"/>
  <c r="G35" i="4"/>
  <c r="H35" i="4"/>
  <c r="F35" i="4"/>
  <c r="E35" i="4"/>
  <c r="I34" i="4"/>
  <c r="H34" i="4"/>
  <c r="F34" i="4"/>
  <c r="E34" i="4"/>
  <c r="F33" i="4"/>
  <c r="E33" i="4"/>
  <c r="I32" i="4"/>
  <c r="G32" i="4"/>
  <c r="H32" i="4"/>
  <c r="F32" i="4"/>
  <c r="E32" i="4"/>
  <c r="H31" i="4"/>
  <c r="F31" i="4"/>
  <c r="E31" i="4"/>
  <c r="I30" i="4"/>
  <c r="H30" i="4"/>
  <c r="F30" i="4"/>
  <c r="E30" i="4"/>
  <c r="I29" i="4"/>
  <c r="H29" i="4"/>
  <c r="F29" i="4"/>
  <c r="E29" i="4"/>
  <c r="I25" i="4"/>
  <c r="G25" i="4"/>
  <c r="F25" i="4"/>
  <c r="E25" i="4"/>
  <c r="D25" i="4"/>
  <c r="B25" i="4"/>
  <c r="I24" i="4"/>
  <c r="G24" i="4"/>
  <c r="F24" i="4"/>
  <c r="E24" i="4"/>
  <c r="D24" i="4"/>
  <c r="B24" i="4"/>
  <c r="I23" i="4"/>
  <c r="G23" i="4"/>
  <c r="F23" i="4"/>
  <c r="E23" i="4"/>
  <c r="D23" i="4"/>
  <c r="B23" i="4"/>
  <c r="I22" i="4"/>
  <c r="G22" i="4"/>
  <c r="F22" i="4"/>
  <c r="E22" i="4"/>
  <c r="D22" i="4"/>
  <c r="B22" i="4"/>
  <c r="I21" i="4"/>
  <c r="G21" i="4"/>
  <c r="F21" i="4"/>
  <c r="E21" i="4"/>
  <c r="D21" i="4"/>
  <c r="B21" i="4"/>
  <c r="I20" i="4"/>
  <c r="G20" i="4"/>
  <c r="F20" i="4"/>
  <c r="E20" i="4"/>
  <c r="D20" i="4"/>
  <c r="B20" i="4"/>
  <c r="I19" i="4"/>
  <c r="G19" i="4"/>
  <c r="F19" i="4"/>
  <c r="E19" i="4"/>
  <c r="D19" i="4"/>
  <c r="B19" i="4"/>
  <c r="I18" i="4"/>
  <c r="G18" i="4"/>
  <c r="F18" i="4"/>
  <c r="E18" i="4"/>
  <c r="D18" i="4"/>
  <c r="B18" i="4"/>
  <c r="I17" i="4"/>
  <c r="G17" i="4"/>
  <c r="F17" i="4"/>
  <c r="E17" i="4"/>
  <c r="D17" i="4"/>
  <c r="B17" i="4"/>
  <c r="I16" i="4"/>
  <c r="G16" i="4"/>
  <c r="F16" i="4"/>
  <c r="E16" i="4"/>
  <c r="D16" i="4"/>
  <c r="B16" i="4"/>
  <c r="I15" i="4"/>
  <c r="G15" i="4"/>
  <c r="F15" i="4"/>
  <c r="E15" i="4"/>
  <c r="D15" i="4"/>
  <c r="B15" i="4"/>
  <c r="I14" i="4"/>
  <c r="G14" i="4"/>
  <c r="F14" i="4"/>
  <c r="E14" i="4"/>
  <c r="D14" i="4"/>
  <c r="B14" i="4"/>
  <c r="I13" i="4"/>
  <c r="G13" i="4"/>
  <c r="F13" i="4"/>
  <c r="E13" i="4"/>
  <c r="D13" i="4"/>
  <c r="B13" i="4"/>
  <c r="I12" i="4"/>
  <c r="G12" i="4"/>
  <c r="F12" i="4"/>
  <c r="E12" i="4"/>
  <c r="D12" i="4"/>
  <c r="B12" i="4"/>
  <c r="I11" i="4"/>
  <c r="G11" i="4"/>
  <c r="F11" i="4"/>
  <c r="E11" i="4"/>
  <c r="D11" i="4"/>
  <c r="B11" i="4"/>
  <c r="I10" i="4"/>
  <c r="G10" i="4"/>
  <c r="F10" i="4"/>
  <c r="E10" i="4"/>
  <c r="D10" i="4"/>
  <c r="B10" i="4"/>
  <c r="I9" i="4"/>
  <c r="G9" i="4"/>
  <c r="F9" i="4"/>
  <c r="E9" i="4"/>
  <c r="D9" i="4"/>
  <c r="B9" i="4"/>
  <c r="I8" i="4"/>
  <c r="G8" i="4"/>
  <c r="F8" i="4"/>
  <c r="E8" i="4"/>
  <c r="B8" i="4"/>
  <c r="I7" i="4"/>
  <c r="G7" i="4"/>
  <c r="F7" i="4"/>
  <c r="E7" i="4"/>
  <c r="D7" i="4"/>
  <c r="B7" i="4"/>
  <c r="I6" i="4"/>
  <c r="G6" i="4"/>
  <c r="F6" i="4"/>
  <c r="E6" i="4"/>
  <c r="D6" i="4"/>
  <c r="B6" i="4"/>
  <c r="I5" i="4"/>
  <c r="G5" i="4"/>
  <c r="F5" i="4"/>
  <c r="E5" i="4"/>
  <c r="B5" i="4"/>
</calcChain>
</file>

<file path=xl/sharedStrings.xml><?xml version="1.0" encoding="utf-8"?>
<sst xmlns="http://schemas.openxmlformats.org/spreadsheetml/2006/main" count="26" uniqueCount="22">
  <si>
    <r>
      <t>Table S3. Centromeres are not located in the longest AT-rich region of the chromosome.</t>
    </r>
    <r>
      <rPr>
        <sz val="11"/>
        <rFont val="Calibri"/>
        <family val="2"/>
      </rPr>
      <t xml:space="preserve"> A. The number of AT-rich regions in all chromosomes, including the length of the AT-rich region, the coordinates of the AT-rich regions and the percentage of repetitive DNA (mostly TEs) are listed. B. Number of AT-rich regions in all centromeres, including the length of the AT-rich region, the coordinates of the AT-rich regions and the percentage of repetitive DNA (mostly TEs). In total there are 847 AT-rich regions, from 2 kb to 86.3 kb in size and covering 7.383 Mb of the genome. The median size is 7.1 kb and the mean AT content is 55%. In chromosomes 4 and 10 two AT-rich regions partially overlap the centromeres, on chromosome 4 this is 1.905 kb of 86.31 kb and on chromosomes 10 this is 1.77 kb of 11.8 kb; these regions are indicated by an asterisk (*).</t>
    </r>
    <phoneticPr fontId="5" type="noConversion"/>
  </si>
  <si>
    <t>A. AT-enriched regions of the full chromosome</t>
    <phoneticPr fontId="5" type="noConversion"/>
  </si>
  <si>
    <t>Chromosome</t>
  </si>
  <si>
    <t>Chromosome length (Mb)</t>
  </si>
  <si>
    <t># of AT regions</t>
  </si>
  <si>
    <t>Longest AT region (kb)</t>
  </si>
  <si>
    <t>Start (Mb)</t>
  </si>
  <si>
    <t>Stop (Mb)</t>
  </si>
  <si>
    <t>AT-rich regions (kb)</t>
  </si>
  <si>
    <t>%AT-rich</t>
  </si>
  <si>
    <t>Total repeated DNA (kb)</t>
  </si>
  <si>
    <t>% repeats</t>
  </si>
  <si>
    <r>
      <t>86.31</t>
    </r>
    <r>
      <rPr>
        <vertAlign val="superscript"/>
        <sz val="11"/>
        <rFont val="Calibri"/>
        <family val="2"/>
      </rPr>
      <t>(a</t>
    </r>
  </si>
  <si>
    <t>b. AT-enriched regions inside centromeres</t>
  </si>
  <si>
    <t>Centromere length (kb)</t>
  </si>
  <si>
    <t>AT regions in centromere (kb)</t>
  </si>
  <si>
    <t>AT-rich in centromere (kb)</t>
  </si>
  <si>
    <t>%AT-rich in centromere</t>
  </si>
  <si>
    <t>Total repeats in centromere (kb)</t>
  </si>
  <si>
    <t>Total % repeats in centromere</t>
  </si>
  <si>
    <t>86.31*</t>
  </si>
  <si>
    <t>11.80*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</si>
</sst>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6" formatCode="0.0"/>
    <numFmt numFmtId="167" formatCode="0.0000"/>
    <numFmt numFmtId="168" formatCode="0.000"/>
  </numFmts>
  <fonts count="6" x14ac:knownFonts="1">
    <font>
      <sz val="10"/>
      <name val="Arial"/>
    </font>
    <font>
      <sz val="1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vertAlign val="superscript"/>
      <sz val="11"/>
      <name val="Calibri"/>
      <family val="2"/>
    </font>
    <font>
      <sz val="8"/>
      <name val="Verdan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Border="1" applyAlignment="1">
      <alignment horizontal="left"/>
    </xf>
    <xf numFmtId="0" fontId="2" fillId="0" borderId="0" xfId="0" applyFont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167" fontId="2" fillId="0" borderId="0" xfId="0" applyNumberFormat="1" applyFont="1" applyBorder="1" applyAlignment="1">
      <alignment horizontal="right" vertical="center"/>
    </xf>
    <xf numFmtId="2" fontId="2" fillId="0" borderId="0" xfId="0" applyNumberFormat="1" applyFont="1" applyBorder="1" applyAlignment="1">
      <alignment horizontal="center"/>
    </xf>
    <xf numFmtId="167" fontId="2" fillId="0" borderId="0" xfId="0" applyNumberFormat="1" applyFont="1" applyBorder="1" applyAlignment="1">
      <alignment horizontal="center"/>
    </xf>
    <xf numFmtId="166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168" fontId="2" fillId="0" borderId="0" xfId="0" applyNumberFormat="1" applyFont="1" applyAlignment="1">
      <alignment horizontal="center"/>
    </xf>
    <xf numFmtId="2" fontId="2" fillId="0" borderId="0" xfId="0" applyNumberFormat="1" applyFont="1" applyBorder="1"/>
    <xf numFmtId="2" fontId="2" fillId="0" borderId="0" xfId="0" applyNumberFormat="1" applyFont="1"/>
    <xf numFmtId="2" fontId="2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168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/>
    <xf numFmtId="0" fontId="3" fillId="0" borderId="1" xfId="0" applyFont="1" applyBorder="1" applyAlignment="1">
      <alignment horizontal="left" vertical="top"/>
    </xf>
    <xf numFmtId="166" fontId="0" fillId="0" borderId="0" xfId="0" applyNumberFormat="1"/>
    <xf numFmtId="168" fontId="0" fillId="0" borderId="0" xfId="0" applyNumberFormat="1"/>
    <xf numFmtId="2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O55"/>
  <sheetViews>
    <sheetView showGridLines="0" tabSelected="1" workbookViewId="0">
      <selection activeCell="A2" sqref="A2"/>
    </sheetView>
  </sheetViews>
  <sheetFormatPr baseColWidth="10" defaultColWidth="8.83203125" defaultRowHeight="12" x14ac:dyDescent="0"/>
  <cols>
    <col min="1" max="1" width="15" customWidth="1"/>
    <col min="2" max="2" width="13.83203125" customWidth="1"/>
    <col min="4" max="4" width="15.6640625" customWidth="1"/>
    <col min="5" max="5" width="10.5" bestFit="1" customWidth="1"/>
    <col min="6" max="6" width="10.1640625" bestFit="1" customWidth="1"/>
    <col min="7" max="7" width="16" customWidth="1"/>
    <col min="8" max="8" width="11.6640625" customWidth="1"/>
    <col min="9" max="9" width="17.6640625" customWidth="1"/>
    <col min="10" max="10" width="14.83203125" customWidth="1"/>
  </cols>
  <sheetData>
    <row r="1" spans="1:10" ht="97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3" spans="1:10" ht="14">
      <c r="A3" s="31" t="s">
        <v>1</v>
      </c>
      <c r="B3" s="3"/>
      <c r="C3" s="3"/>
      <c r="D3" s="3"/>
      <c r="E3" s="3"/>
      <c r="F3" s="3"/>
      <c r="G3" s="3"/>
      <c r="H3" s="3"/>
      <c r="I3" s="3"/>
      <c r="J3" s="3"/>
    </row>
    <row r="4" spans="1:10" ht="28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4" t="s">
        <v>9</v>
      </c>
      <c r="I4" s="5" t="s">
        <v>10</v>
      </c>
      <c r="J4" s="4" t="s">
        <v>11</v>
      </c>
    </row>
    <row r="5" spans="1:10" ht="14">
      <c r="A5" s="6">
        <v>1</v>
      </c>
      <c r="B5" s="7">
        <f>6088797/1000000</f>
        <v>6.0887969999999996</v>
      </c>
      <c r="C5" s="6">
        <v>76</v>
      </c>
      <c r="D5" s="8">
        <v>40.06</v>
      </c>
      <c r="E5" s="9">
        <f>2760828/1000000</f>
        <v>2.7608280000000001</v>
      </c>
      <c r="F5" s="9">
        <f>2800885/1000000</f>
        <v>2.8008850000000001</v>
      </c>
      <c r="G5" s="10">
        <f>706066/1000</f>
        <v>706.06600000000003</v>
      </c>
      <c r="H5" s="11">
        <v>11.5961494528394</v>
      </c>
      <c r="I5" s="10">
        <f>645184/1000</f>
        <v>645.18399999999997</v>
      </c>
      <c r="J5" s="11">
        <v>10.596247501764299</v>
      </c>
    </row>
    <row r="6" spans="1:10" ht="14">
      <c r="A6" s="6">
        <v>2</v>
      </c>
      <c r="B6" s="7">
        <f>3860111/1000000</f>
        <v>3.8601109999999998</v>
      </c>
      <c r="C6" s="6">
        <v>76</v>
      </c>
      <c r="D6" s="8">
        <f>32104/1000</f>
        <v>32.103999999999999</v>
      </c>
      <c r="E6" s="9">
        <f>229245/1000000</f>
        <v>0.229245</v>
      </c>
      <c r="F6" s="9">
        <f>261348/1000000</f>
        <v>0.26134800000000002</v>
      </c>
      <c r="G6" s="10">
        <f>699403/1000</f>
        <v>699.40300000000002</v>
      </c>
      <c r="H6" s="11">
        <v>18.1187276738933</v>
      </c>
      <c r="I6" s="10">
        <f>635152/1000</f>
        <v>635.15200000000004</v>
      </c>
      <c r="J6" s="11">
        <v>16.454241859884299</v>
      </c>
    </row>
    <row r="7" spans="1:10" ht="14">
      <c r="A7" s="6">
        <v>3</v>
      </c>
      <c r="B7" s="7">
        <f>3505381/1000000</f>
        <v>3.5053809999999999</v>
      </c>
      <c r="C7" s="6">
        <v>59</v>
      </c>
      <c r="D7" s="8">
        <f>56983/1000</f>
        <v>56.982999999999997</v>
      </c>
      <c r="E7" s="9">
        <f>780944/1000000</f>
        <v>0.78094399999999997</v>
      </c>
      <c r="F7" s="9">
        <f>837926/1000000</f>
        <v>0.83792599999999995</v>
      </c>
      <c r="G7" s="10">
        <f>580975/1000</f>
        <v>580.97500000000002</v>
      </c>
      <c r="H7" s="11">
        <v>16.573804673443501</v>
      </c>
      <c r="I7" s="10">
        <f>510019/1000</f>
        <v>510.01900000000001</v>
      </c>
      <c r="J7" s="11">
        <v>14.5496024540556</v>
      </c>
    </row>
    <row r="8" spans="1:10" ht="16">
      <c r="A8" s="6">
        <v>4</v>
      </c>
      <c r="B8" s="7">
        <f>2880011/1000000</f>
        <v>2.8800110000000001</v>
      </c>
      <c r="C8" s="6">
        <v>46</v>
      </c>
      <c r="D8" s="12" t="s">
        <v>12</v>
      </c>
      <c r="E8" s="9">
        <f>1524568/1000000</f>
        <v>1.5245679999999999</v>
      </c>
      <c r="F8" s="9">
        <f>1598950/1000000</f>
        <v>1.5989500000000001</v>
      </c>
      <c r="G8" s="10">
        <f>567479/1000</f>
        <v>567.47900000000004</v>
      </c>
      <c r="H8" s="11">
        <v>19.704056685894599</v>
      </c>
      <c r="I8" s="10">
        <f>497318/1000</f>
        <v>497.31799999999998</v>
      </c>
      <c r="J8" s="11">
        <v>17.267920157249399</v>
      </c>
    </row>
    <row r="9" spans="1:10" ht="14">
      <c r="A9" s="6">
        <v>5</v>
      </c>
      <c r="B9" s="7">
        <f>2861803/1000000</f>
        <v>2.8618030000000001</v>
      </c>
      <c r="C9" s="6">
        <v>53</v>
      </c>
      <c r="D9" s="8">
        <f>49997/1000</f>
        <v>49.997</v>
      </c>
      <c r="E9" s="9">
        <f>916339/1000000</f>
        <v>0.91633900000000001</v>
      </c>
      <c r="F9" s="9">
        <f>966335/1000000</f>
        <v>0.96633500000000006</v>
      </c>
      <c r="G9" s="10">
        <f>613950/1000</f>
        <v>613.95000000000005</v>
      </c>
      <c r="H9" s="11">
        <v>21.453258662458602</v>
      </c>
      <c r="I9" s="10">
        <f>588998/1000</f>
        <v>588.99800000000005</v>
      </c>
      <c r="J9" s="11">
        <v>20.581360771513602</v>
      </c>
    </row>
    <row r="10" spans="1:10" ht="14">
      <c r="A10" s="6">
        <v>6</v>
      </c>
      <c r="B10" s="7">
        <f>2674951/1000000</f>
        <v>2.6749510000000001</v>
      </c>
      <c r="C10" s="6">
        <v>67</v>
      </c>
      <c r="D10" s="8">
        <f>68796/1000</f>
        <v>68.796000000000006</v>
      </c>
      <c r="E10" s="9">
        <f>401877/1000000</f>
        <v>0.40187699999999998</v>
      </c>
      <c r="F10" s="9">
        <f>470672/1000000</f>
        <v>0.47067199999999998</v>
      </c>
      <c r="G10" s="10">
        <f>746995/1000</f>
        <v>746.995</v>
      </c>
      <c r="H10" s="11">
        <v>27.9255582625626</v>
      </c>
      <c r="I10" s="10">
        <f>640092/1000</f>
        <v>640.09199999999998</v>
      </c>
      <c r="J10" s="11">
        <v>23.929111224841101</v>
      </c>
    </row>
    <row r="11" spans="1:10" ht="14">
      <c r="A11" s="6">
        <v>7</v>
      </c>
      <c r="B11" s="7">
        <f>2665280/1000000</f>
        <v>2.6652800000000001</v>
      </c>
      <c r="C11" s="6">
        <v>60</v>
      </c>
      <c r="D11" s="8">
        <f>25895/1000</f>
        <v>25.895</v>
      </c>
      <c r="E11" s="9">
        <f>158325/1000000</f>
        <v>0.15832499999999999</v>
      </c>
      <c r="F11" s="9">
        <f>184219/1000000</f>
        <v>0.18421899999999999</v>
      </c>
      <c r="G11" s="10">
        <f>468130/1000</f>
        <v>468.13</v>
      </c>
      <c r="H11" s="11">
        <v>17.5640082843078</v>
      </c>
      <c r="I11" s="10">
        <f>407183/1000</f>
        <v>407.18299999999999</v>
      </c>
      <c r="J11" s="11">
        <v>15.277306699483701</v>
      </c>
    </row>
    <row r="12" spans="1:10" ht="14">
      <c r="A12" s="6">
        <v>8</v>
      </c>
      <c r="B12" s="7">
        <f>2443572/1000000</f>
        <v>2.4435720000000001</v>
      </c>
      <c r="C12" s="6">
        <v>39</v>
      </c>
      <c r="D12" s="8">
        <f>78515/1000</f>
        <v>78.515000000000001</v>
      </c>
      <c r="E12" s="9">
        <f>2267660/1000000</f>
        <v>2.2676599999999998</v>
      </c>
      <c r="F12" s="9">
        <f>2346174/1000000</f>
        <v>2.346174</v>
      </c>
      <c r="G12" s="10">
        <f>576489/1000</f>
        <v>576.48900000000003</v>
      </c>
      <c r="H12" s="11">
        <v>23.592061130181602</v>
      </c>
      <c r="I12" s="10">
        <f>495729/1000</f>
        <v>495.72899999999998</v>
      </c>
      <c r="J12" s="11">
        <v>20.287063364615399</v>
      </c>
    </row>
    <row r="13" spans="1:10" ht="14">
      <c r="A13" s="6">
        <v>9</v>
      </c>
      <c r="B13" s="7">
        <f>2142475/1000000</f>
        <v>2.1424750000000001</v>
      </c>
      <c r="C13" s="6">
        <v>56</v>
      </c>
      <c r="D13" s="8">
        <f>65648/1000</f>
        <v>65.647999999999996</v>
      </c>
      <c r="E13" s="9">
        <f>52079/1000000</f>
        <v>5.2079E-2</v>
      </c>
      <c r="F13" s="9">
        <f>117726/1000000</f>
        <v>0.117726</v>
      </c>
      <c r="G13" s="10">
        <f>550836/1000</f>
        <v>550.83600000000001</v>
      </c>
      <c r="H13" s="11">
        <v>25.710264997257799</v>
      </c>
      <c r="I13" s="10">
        <f>473085/1000</f>
        <v>473.08499999999998</v>
      </c>
      <c r="J13" s="11">
        <v>22.0812378207447</v>
      </c>
    </row>
    <row r="14" spans="1:10" ht="14">
      <c r="A14" s="6">
        <v>10</v>
      </c>
      <c r="B14" s="7">
        <f>1682575/1000000</f>
        <v>1.6825749999999999</v>
      </c>
      <c r="C14" s="6">
        <v>27</v>
      </c>
      <c r="D14" s="8">
        <f>30023/1000</f>
        <v>30.023</v>
      </c>
      <c r="E14" s="9">
        <f>1397534/1000000</f>
        <v>1.3975340000000001</v>
      </c>
      <c r="F14" s="9">
        <f>1427556/1000000</f>
        <v>1.427556</v>
      </c>
      <c r="G14" s="10">
        <f>262595/1000</f>
        <v>262.59500000000003</v>
      </c>
      <c r="H14" s="11">
        <v>15.606733726579799</v>
      </c>
      <c r="I14" s="10">
        <f>253548/1000</f>
        <v>253.548</v>
      </c>
      <c r="J14" s="11">
        <v>15.069045956346701</v>
      </c>
    </row>
    <row r="15" spans="1:10" ht="14">
      <c r="A15" s="6">
        <v>11</v>
      </c>
      <c r="B15" s="7">
        <f>1624292/1000000</f>
        <v>1.6242920000000001</v>
      </c>
      <c r="C15" s="6">
        <v>31</v>
      </c>
      <c r="D15" s="8">
        <f>19911/1000</f>
        <v>19.911000000000001</v>
      </c>
      <c r="E15" s="9">
        <f>1045166/1000000</f>
        <v>1.045166</v>
      </c>
      <c r="F15" s="9">
        <f>1065076/1000000</f>
        <v>1.0650759999999999</v>
      </c>
      <c r="G15" s="10">
        <f>251089/1000</f>
        <v>251.089</v>
      </c>
      <c r="H15" s="11">
        <v>15.4583658603256</v>
      </c>
      <c r="I15" s="10">
        <f>185689/1000</f>
        <v>185.68899999999999</v>
      </c>
      <c r="J15" s="11">
        <v>11.4319962174289</v>
      </c>
    </row>
    <row r="16" spans="1:10" ht="14">
      <c r="A16" s="6">
        <v>12</v>
      </c>
      <c r="B16" s="7">
        <f>1462624/1000000</f>
        <v>1.4626239999999999</v>
      </c>
      <c r="C16" s="6">
        <v>30</v>
      </c>
      <c r="D16" s="8">
        <f>24055/1000</f>
        <v>24.055</v>
      </c>
      <c r="E16" s="9">
        <f>94042/1000000</f>
        <v>9.4042000000000001E-2</v>
      </c>
      <c r="F16" s="9">
        <f>118096/1000000</f>
        <v>0.11809600000000001</v>
      </c>
      <c r="G16" s="10">
        <f>285398/1000</f>
        <v>285.39800000000002</v>
      </c>
      <c r="H16" s="11">
        <v>19.512738748988099</v>
      </c>
      <c r="I16" s="10">
        <f>249110/1000</f>
        <v>249.11</v>
      </c>
      <c r="J16" s="11">
        <v>17.031718336359901</v>
      </c>
    </row>
    <row r="17" spans="1:15" ht="14">
      <c r="A17" s="13">
        <v>13</v>
      </c>
      <c r="B17" s="14">
        <f>1185774/1000000</f>
        <v>1.1857740000000001</v>
      </c>
      <c r="C17" s="13">
        <v>31</v>
      </c>
      <c r="D17" s="15">
        <f>24904/1000</f>
        <v>24.904</v>
      </c>
      <c r="E17" s="16">
        <f>1027697/1000000</f>
        <v>1.0276970000000001</v>
      </c>
      <c r="F17" s="16">
        <f>1052600/1000000</f>
        <v>1.0526</v>
      </c>
      <c r="G17" s="17">
        <f>268012/1000</f>
        <v>268.012</v>
      </c>
      <c r="H17" s="18">
        <v>22.6022834030768</v>
      </c>
      <c r="I17" s="17">
        <f>252922/1000</f>
        <v>252.922</v>
      </c>
      <c r="J17" s="18">
        <v>21.329696889963898</v>
      </c>
      <c r="K17" s="32"/>
      <c r="N17" s="32"/>
    </row>
    <row r="18" spans="1:15" ht="14">
      <c r="A18" s="6">
        <v>14</v>
      </c>
      <c r="B18" s="7">
        <f>773098/1000000</f>
        <v>0.77309799999999995</v>
      </c>
      <c r="C18" s="6">
        <v>41</v>
      </c>
      <c r="D18" s="8">
        <f>37299/1000</f>
        <v>37.298999999999999</v>
      </c>
      <c r="E18" s="9">
        <f>735800/1000000</f>
        <v>0.73580000000000001</v>
      </c>
      <c r="F18" s="9">
        <f>773098/1000000</f>
        <v>0.77309799999999995</v>
      </c>
      <c r="G18" s="10">
        <f>408740/1000</f>
        <v>408.74</v>
      </c>
      <c r="H18" s="11">
        <v>52.870399354286299</v>
      </c>
      <c r="I18" s="10">
        <f>330048/1000</f>
        <v>330.048</v>
      </c>
      <c r="J18" s="11">
        <v>42.691612188881599</v>
      </c>
    </row>
    <row r="19" spans="1:15" ht="14">
      <c r="A19" s="6">
        <v>15</v>
      </c>
      <c r="B19" s="7">
        <f>639501/1000000</f>
        <v>0.63950099999999999</v>
      </c>
      <c r="C19" s="6">
        <v>33</v>
      </c>
      <c r="D19" s="8">
        <f>14446/1000</f>
        <v>14.446</v>
      </c>
      <c r="E19" s="9">
        <f>142023/1000000</f>
        <v>0.14202300000000001</v>
      </c>
      <c r="F19" s="9">
        <f>156468/1000000</f>
        <v>0.156468</v>
      </c>
      <c r="G19" s="10">
        <f>234949/1000</f>
        <v>234.94900000000001</v>
      </c>
      <c r="H19" s="11">
        <v>36.739426521616103</v>
      </c>
      <c r="I19" s="10">
        <f>234467/1000</f>
        <v>234.46700000000001</v>
      </c>
      <c r="J19" s="11">
        <v>36.664055255582099</v>
      </c>
    </row>
    <row r="20" spans="1:15" ht="14">
      <c r="A20" s="6">
        <v>16</v>
      </c>
      <c r="B20" s="7">
        <f>607044/1000000</f>
        <v>0.60704400000000003</v>
      </c>
      <c r="C20" s="6">
        <v>17</v>
      </c>
      <c r="D20" s="8">
        <f>26466/1000</f>
        <v>26.466000000000001</v>
      </c>
      <c r="E20" s="9">
        <f>409008/1000000</f>
        <v>0.40900799999999998</v>
      </c>
      <c r="F20" s="9">
        <f>435473/1000000</f>
        <v>0.435473</v>
      </c>
      <c r="G20" s="10">
        <f>152693/1000</f>
        <v>152.69300000000001</v>
      </c>
      <c r="H20" s="11">
        <v>25.1535308807928</v>
      </c>
      <c r="I20" s="10">
        <f>163752/1000</f>
        <v>163.75200000000001</v>
      </c>
      <c r="J20" s="11">
        <v>26.9753098622176</v>
      </c>
    </row>
    <row r="21" spans="1:15" ht="14">
      <c r="A21" s="6">
        <v>17</v>
      </c>
      <c r="B21" s="7">
        <f>584099/1000000</f>
        <v>0.58409900000000003</v>
      </c>
      <c r="C21" s="6">
        <v>25</v>
      </c>
      <c r="D21" s="8">
        <f>14181/1000</f>
        <v>14.180999999999999</v>
      </c>
      <c r="E21" s="9">
        <f>72301/1000000</f>
        <v>7.2301000000000004E-2</v>
      </c>
      <c r="F21" s="9">
        <f>86481/1000000</f>
        <v>8.6481000000000002E-2</v>
      </c>
      <c r="G21" s="10">
        <f>134218/1000</f>
        <v>134.21799999999999</v>
      </c>
      <c r="H21" s="11">
        <v>22.978638895118799</v>
      </c>
      <c r="I21" s="10">
        <f>165956/1000</f>
        <v>165.95599999999999</v>
      </c>
      <c r="J21" s="11">
        <v>28.4123068178511</v>
      </c>
    </row>
    <row r="22" spans="1:15" ht="14">
      <c r="A22" s="6">
        <v>18</v>
      </c>
      <c r="B22" s="7">
        <f>573698/1000000</f>
        <v>0.57369800000000004</v>
      </c>
      <c r="C22" s="6">
        <v>23</v>
      </c>
      <c r="D22" s="8">
        <f>34468/1000</f>
        <v>34.468000000000004</v>
      </c>
      <c r="E22" s="9">
        <f>367428/1000000</f>
        <v>0.36742799999999998</v>
      </c>
      <c r="F22" s="9">
        <f>401895/1000000</f>
        <v>0.401895</v>
      </c>
      <c r="G22" s="10">
        <f>299787/1000</f>
        <v>299.78699999999998</v>
      </c>
      <c r="H22" s="11">
        <v>52.255193499018603</v>
      </c>
      <c r="I22" s="10">
        <f>253549/1000</f>
        <v>253.54900000000001</v>
      </c>
      <c r="J22" s="11">
        <v>44.195552363787201</v>
      </c>
    </row>
    <row r="23" spans="1:15" ht="14">
      <c r="A23" s="6">
        <v>19</v>
      </c>
      <c r="B23" s="7">
        <f>549847/1000000</f>
        <v>0.54984699999999997</v>
      </c>
      <c r="C23" s="6">
        <v>29</v>
      </c>
      <c r="D23" s="8">
        <f>14311/1000</f>
        <v>14.311</v>
      </c>
      <c r="E23" s="9">
        <f>364920/1000000</f>
        <v>0.36492000000000002</v>
      </c>
      <c r="F23" s="9">
        <f>379230/1000000</f>
        <v>0.37923000000000001</v>
      </c>
      <c r="G23" s="10">
        <f>177462/1000</f>
        <v>177.46199999999999</v>
      </c>
      <c r="H23" s="11">
        <v>32.2747964433742</v>
      </c>
      <c r="I23" s="10">
        <f>153434/1000</f>
        <v>153.434</v>
      </c>
      <c r="J23" s="11">
        <v>27.9048535319825</v>
      </c>
    </row>
    <row r="24" spans="1:15" ht="14">
      <c r="A24" s="6">
        <v>20</v>
      </c>
      <c r="B24" s="7">
        <f>472105/1000000</f>
        <v>0.472105</v>
      </c>
      <c r="C24" s="6">
        <v>16</v>
      </c>
      <c r="D24" s="8">
        <f>43022/1000</f>
        <v>43.021999999999998</v>
      </c>
      <c r="E24" s="9">
        <f>285763/1000000</f>
        <v>0.28576299999999999</v>
      </c>
      <c r="F24" s="9">
        <f>328784/1000000</f>
        <v>0.32878400000000002</v>
      </c>
      <c r="G24" s="10">
        <f>129666/1000</f>
        <v>129.666</v>
      </c>
      <c r="H24" s="11">
        <v>27.465500259476201</v>
      </c>
      <c r="I24" s="10">
        <f>110855/1000</f>
        <v>110.855</v>
      </c>
      <c r="J24" s="11">
        <v>23.481005284841299</v>
      </c>
    </row>
    <row r="25" spans="1:15" ht="14">
      <c r="A25" s="13">
        <v>21</v>
      </c>
      <c r="B25" s="14">
        <f>409150/1000000</f>
        <v>0.40915000000000001</v>
      </c>
      <c r="C25" s="13">
        <v>12</v>
      </c>
      <c r="D25" s="15">
        <f>27726/1000</f>
        <v>27.725999999999999</v>
      </c>
      <c r="E25" s="16">
        <f>206904/1000000</f>
        <v>0.206904</v>
      </c>
      <c r="F25" s="16">
        <f>234629/1000000</f>
        <v>0.234629</v>
      </c>
      <c r="G25" s="17">
        <f>111793/1000</f>
        <v>111.79300000000001</v>
      </c>
      <c r="H25" s="18">
        <v>27.3232310888427</v>
      </c>
      <c r="I25" s="17">
        <f>136671/1000</f>
        <v>136.67099999999999</v>
      </c>
      <c r="J25" s="18">
        <v>33.403641696199401</v>
      </c>
      <c r="K25" s="32"/>
      <c r="L25" s="33"/>
      <c r="N25" s="32"/>
      <c r="O25" s="33"/>
    </row>
    <row r="26" spans="1:15" ht="14">
      <c r="A26" s="19"/>
      <c r="B26" s="19"/>
      <c r="C26" s="19"/>
      <c r="D26" s="8"/>
      <c r="E26" s="2"/>
      <c r="F26" s="2"/>
      <c r="G26" s="19"/>
      <c r="H26" s="19"/>
      <c r="I26" s="19"/>
      <c r="J26" s="19"/>
    </row>
    <row r="27" spans="1:15" ht="14">
      <c r="A27" s="1" t="s">
        <v>13</v>
      </c>
      <c r="B27" s="2"/>
      <c r="C27" s="2"/>
      <c r="D27" s="2"/>
      <c r="E27" s="2"/>
      <c r="F27" s="19"/>
      <c r="G27" s="19"/>
      <c r="H27" s="19"/>
      <c r="I27" s="19"/>
      <c r="J27" s="2"/>
    </row>
    <row r="28" spans="1:15" ht="28">
      <c r="A28" s="4" t="s">
        <v>2</v>
      </c>
      <c r="B28" s="5" t="s">
        <v>14</v>
      </c>
      <c r="C28" s="5" t="s">
        <v>4</v>
      </c>
      <c r="D28" s="5" t="s">
        <v>15</v>
      </c>
      <c r="E28" s="4" t="s">
        <v>6</v>
      </c>
      <c r="F28" s="4" t="s">
        <v>7</v>
      </c>
      <c r="G28" s="5" t="s">
        <v>16</v>
      </c>
      <c r="H28" s="5" t="s">
        <v>17</v>
      </c>
      <c r="I28" s="5" t="s">
        <v>18</v>
      </c>
      <c r="J28" s="5" t="s">
        <v>19</v>
      </c>
    </row>
    <row r="29" spans="1:15" ht="14">
      <c r="A29" s="6">
        <v>1</v>
      </c>
      <c r="B29" s="20">
        <v>12.45</v>
      </c>
      <c r="C29" s="21">
        <v>1</v>
      </c>
      <c r="D29" s="8">
        <v>11.85</v>
      </c>
      <c r="E29" s="9">
        <f>3842790/1000000</f>
        <v>3.8427899999999999</v>
      </c>
      <c r="F29" s="9">
        <f>3854639/1000000</f>
        <v>3.8546390000000001</v>
      </c>
      <c r="G29" s="8">
        <v>11.85</v>
      </c>
      <c r="H29" s="8">
        <f>(G29/B29)*100</f>
        <v>95.180722891566276</v>
      </c>
      <c r="I29" s="22">
        <f>B29*J29/100</f>
        <v>3.3937274114528919</v>
      </c>
      <c r="J29" s="23">
        <v>27.258854710464998</v>
      </c>
    </row>
    <row r="30" spans="1:15" ht="14">
      <c r="A30" s="6">
        <v>2</v>
      </c>
      <c r="B30" s="20">
        <v>9.02</v>
      </c>
      <c r="C30" s="21">
        <v>1</v>
      </c>
      <c r="D30" s="8">
        <v>5.1719999999999997</v>
      </c>
      <c r="E30" s="9">
        <f>513591/1000000</f>
        <v>0.51359100000000002</v>
      </c>
      <c r="F30" s="9">
        <f>518762/1000000</f>
        <v>0.51876199999999995</v>
      </c>
      <c r="G30" s="8">
        <v>5.1719999999999997</v>
      </c>
      <c r="H30" s="8">
        <f>(G30/B30)*100</f>
        <v>57.339246119733922</v>
      </c>
      <c r="I30" s="22">
        <f>B30*J30/100</f>
        <v>2.9232963620230752</v>
      </c>
      <c r="J30" s="23">
        <v>32.409050576752499</v>
      </c>
    </row>
    <row r="31" spans="1:15" ht="14">
      <c r="A31" s="6">
        <v>3</v>
      </c>
      <c r="B31" s="20">
        <v>8.23</v>
      </c>
      <c r="C31" s="21">
        <v>1</v>
      </c>
      <c r="D31" s="8">
        <v>3.859</v>
      </c>
      <c r="E31" s="9">
        <f>3347728/1000000</f>
        <v>3.347728</v>
      </c>
      <c r="F31" s="9">
        <f>3351586/1000000</f>
        <v>3.3515860000000002</v>
      </c>
      <c r="G31" s="8">
        <v>3.859</v>
      </c>
      <c r="H31" s="8">
        <f>(G31/B31)*100</f>
        <v>46.889428918590518</v>
      </c>
      <c r="I31" s="22"/>
      <c r="J31" s="24"/>
    </row>
    <row r="32" spans="1:15" ht="14">
      <c r="A32" s="6">
        <v>4</v>
      </c>
      <c r="B32" s="20">
        <v>9.43</v>
      </c>
      <c r="C32" s="21">
        <v>2</v>
      </c>
      <c r="D32" s="8">
        <v>2.629</v>
      </c>
      <c r="E32" s="9">
        <f>218011/1000000</f>
        <v>0.21801100000000001</v>
      </c>
      <c r="F32" s="9">
        <f>220639/1000000</f>
        <v>0.220639</v>
      </c>
      <c r="G32" s="25">
        <f>2.63+1.905</f>
        <v>4.5350000000000001</v>
      </c>
      <c r="H32" s="8">
        <f>(G32/B32)*100</f>
        <v>48.091198303287385</v>
      </c>
      <c r="I32" s="22">
        <f>B32*J32/100</f>
        <v>0.93270327573412515</v>
      </c>
      <c r="J32" s="23">
        <v>9.8908088625039792</v>
      </c>
    </row>
    <row r="33" spans="1:10" ht="14">
      <c r="A33" s="6">
        <v>4</v>
      </c>
      <c r="B33" s="20">
        <v>9.43</v>
      </c>
      <c r="C33" s="21">
        <v>2</v>
      </c>
      <c r="D33" s="8" t="s">
        <v>20</v>
      </c>
      <c r="E33" s="9">
        <f>224640/1000000</f>
        <v>0.22464000000000001</v>
      </c>
      <c r="F33" s="9">
        <f>310950/1000000</f>
        <v>0.31095</v>
      </c>
      <c r="G33" s="25"/>
      <c r="H33" s="8"/>
      <c r="I33" s="22"/>
      <c r="J33" s="24"/>
    </row>
    <row r="34" spans="1:10" ht="14">
      <c r="A34" s="6">
        <v>5</v>
      </c>
      <c r="B34" s="20">
        <v>10.62</v>
      </c>
      <c r="C34" s="21">
        <v>1</v>
      </c>
      <c r="D34" s="8">
        <v>10.598000000000001</v>
      </c>
      <c r="E34" s="9">
        <f>2603259/1000000</f>
        <v>2.603259</v>
      </c>
      <c r="F34" s="9">
        <f>2613856/1000000</f>
        <v>2.6138560000000002</v>
      </c>
      <c r="G34" s="25">
        <v>10.6</v>
      </c>
      <c r="H34" s="8">
        <f>(G34/B34)*100</f>
        <v>99.811676082862533</v>
      </c>
      <c r="I34" s="22">
        <f>B34*J34/100</f>
        <v>2.9950000000000001</v>
      </c>
      <c r="J34" s="23">
        <v>28.2015065913371</v>
      </c>
    </row>
    <row r="35" spans="1:10" ht="14">
      <c r="A35" s="6">
        <v>6</v>
      </c>
      <c r="B35" s="20">
        <v>12.42</v>
      </c>
      <c r="C35" s="21">
        <v>2</v>
      </c>
      <c r="D35" s="8">
        <v>9.2309999999999999</v>
      </c>
      <c r="E35" s="9">
        <f>624929/1000000</f>
        <v>0.62492899999999996</v>
      </c>
      <c r="F35" s="9">
        <f>634159/1000000</f>
        <v>0.63415900000000003</v>
      </c>
      <c r="G35" s="25">
        <f>D35+D36</f>
        <v>11.927</v>
      </c>
      <c r="H35" s="8">
        <f>(G35/B35)*100</f>
        <v>96.030595813204513</v>
      </c>
      <c r="I35" s="22">
        <f>B35*J35/100</f>
        <v>4.6534987113402018</v>
      </c>
      <c r="J35" s="23">
        <v>37.4677835051546</v>
      </c>
    </row>
    <row r="36" spans="1:10" ht="14">
      <c r="A36" s="6">
        <v>6</v>
      </c>
      <c r="B36" s="20">
        <v>12.42</v>
      </c>
      <c r="C36" s="21">
        <v>2</v>
      </c>
      <c r="D36" s="8">
        <v>2.6960000000000002</v>
      </c>
      <c r="E36" s="9">
        <f>636010/1000000</f>
        <v>0.63600999999999996</v>
      </c>
      <c r="F36" s="9">
        <f>638705/1000000</f>
        <v>0.63870499999999997</v>
      </c>
      <c r="G36" s="25"/>
      <c r="H36" s="8"/>
      <c r="I36" s="22"/>
      <c r="J36" s="24"/>
    </row>
    <row r="37" spans="1:10" ht="14">
      <c r="A37" s="6">
        <v>7</v>
      </c>
      <c r="B37" s="20">
        <v>10.38</v>
      </c>
      <c r="C37" s="21">
        <v>1</v>
      </c>
      <c r="D37" s="8">
        <v>2.3849999999999998</v>
      </c>
      <c r="E37" s="9">
        <f>259721/1000000</f>
        <v>0.25972099999999998</v>
      </c>
      <c r="F37" s="9">
        <f>262105/1000000</f>
        <v>0.26210499999999998</v>
      </c>
      <c r="G37" s="8">
        <v>2.3849999999999998</v>
      </c>
      <c r="H37" s="8">
        <f>(G37/B37)*100</f>
        <v>22.97687861271676</v>
      </c>
      <c r="I37" s="22"/>
      <c r="J37" s="24"/>
    </row>
    <row r="38" spans="1:10" ht="14">
      <c r="A38" s="6">
        <v>8</v>
      </c>
      <c r="B38" s="20">
        <v>13.55</v>
      </c>
      <c r="C38" s="21">
        <v>1</v>
      </c>
      <c r="D38" s="8">
        <v>9.3019999999999996</v>
      </c>
      <c r="E38" s="9">
        <f>212835/1000000</f>
        <v>0.212835</v>
      </c>
      <c r="F38" s="9">
        <f>222136/1000000</f>
        <v>0.222136</v>
      </c>
      <c r="G38" s="8">
        <v>9.3019999999999996</v>
      </c>
      <c r="H38" s="8">
        <f>(G38/B38)*100</f>
        <v>68.649446494464939</v>
      </c>
      <c r="I38" s="22">
        <f>B38*J38/100</f>
        <v>4.9099129344056767</v>
      </c>
      <c r="J38" s="23">
        <v>36.235519811111999</v>
      </c>
    </row>
    <row r="39" spans="1:10" ht="14">
      <c r="A39" s="6">
        <v>9</v>
      </c>
      <c r="B39" s="20">
        <v>8.48</v>
      </c>
      <c r="C39" s="21">
        <v>1</v>
      </c>
      <c r="D39" s="8">
        <v>6.99</v>
      </c>
      <c r="E39" s="9">
        <f>2067579/1000000</f>
        <v>2.0675789999999998</v>
      </c>
      <c r="F39" s="9">
        <f>2074568/1000000</f>
        <v>2.0745680000000002</v>
      </c>
      <c r="G39" s="8">
        <v>6.99</v>
      </c>
      <c r="H39" s="8">
        <f>(G39/B39)*100</f>
        <v>82.429245283018872</v>
      </c>
      <c r="I39" s="22"/>
      <c r="J39" s="24"/>
    </row>
    <row r="40" spans="1:10" ht="14">
      <c r="A40" s="6">
        <v>10</v>
      </c>
      <c r="B40" s="20">
        <v>9.65</v>
      </c>
      <c r="C40" s="21">
        <v>2</v>
      </c>
      <c r="D40" s="8" t="s">
        <v>21</v>
      </c>
      <c r="E40" s="9">
        <f>89685/1000000</f>
        <v>8.9685000000000001E-2</v>
      </c>
      <c r="F40" s="9">
        <f>101488/1000000</f>
        <v>0.10148799999999999</v>
      </c>
      <c r="G40" s="25">
        <f>5.09+1.77</f>
        <v>6.8599999999999994</v>
      </c>
      <c r="H40" s="8">
        <f>(G40/B40)*100</f>
        <v>71.088082901554401</v>
      </c>
      <c r="I40" s="22">
        <f>B40*J40/100</f>
        <v>1.4799999999999962</v>
      </c>
      <c r="J40" s="23">
        <v>15.3367875647668</v>
      </c>
    </row>
    <row r="41" spans="1:10" ht="14">
      <c r="A41" s="6">
        <v>10</v>
      </c>
      <c r="B41" s="20">
        <v>9.65</v>
      </c>
      <c r="C41" s="21">
        <v>2</v>
      </c>
      <c r="D41" s="8">
        <v>5.0860000000000003</v>
      </c>
      <c r="E41" s="9">
        <f>101885/1000000</f>
        <v>0.101885</v>
      </c>
      <c r="F41" s="9">
        <f>106970/1000000</f>
        <v>0.10697</v>
      </c>
      <c r="G41" s="25"/>
      <c r="H41" s="8"/>
      <c r="I41" s="22"/>
      <c r="J41" s="24"/>
    </row>
    <row r="42" spans="1:10" ht="14">
      <c r="A42" s="6">
        <v>11</v>
      </c>
      <c r="B42" s="20">
        <v>8.43</v>
      </c>
      <c r="C42" s="21">
        <v>1</v>
      </c>
      <c r="D42" s="8">
        <v>6.742</v>
      </c>
      <c r="E42" s="9">
        <f>366286/1000000</f>
        <v>0.366286</v>
      </c>
      <c r="F42" s="9">
        <f>373027/1000000</f>
        <v>0.373027</v>
      </c>
      <c r="G42" s="8">
        <v>6.742</v>
      </c>
      <c r="H42" s="8">
        <f>(G42/B42)*100</f>
        <v>79.976275207591939</v>
      </c>
      <c r="I42" s="22">
        <f>B42*J42/100</f>
        <v>3.7068794494541972</v>
      </c>
      <c r="J42" s="24">
        <v>43.972472710014202</v>
      </c>
    </row>
    <row r="43" spans="1:10" ht="14">
      <c r="A43" s="6">
        <v>12</v>
      </c>
      <c r="B43" s="20">
        <v>7.98</v>
      </c>
      <c r="C43" s="21">
        <v>1</v>
      </c>
      <c r="D43" s="8">
        <v>3.0990000000000002</v>
      </c>
      <c r="E43" s="9">
        <f>181891/1000000</f>
        <v>0.181891</v>
      </c>
      <c r="F43" s="9">
        <f>184989/1000000</f>
        <v>0.18498899999999999</v>
      </c>
      <c r="G43" s="8">
        <v>3.0990000000000002</v>
      </c>
      <c r="H43" s="8">
        <f>(G43/B43)*100</f>
        <v>38.834586466165419</v>
      </c>
      <c r="I43" s="22">
        <f>B43*J43/100</f>
        <v>3.4012786761940542E-2</v>
      </c>
      <c r="J43" s="24">
        <v>0.42622539801930498</v>
      </c>
    </row>
    <row r="44" spans="1:10" ht="14">
      <c r="A44" s="13">
        <v>13</v>
      </c>
      <c r="B44" s="34">
        <v>9.57</v>
      </c>
      <c r="C44" s="28">
        <v>1</v>
      </c>
      <c r="D44" s="15">
        <v>2.1030000000000002</v>
      </c>
      <c r="E44" s="16">
        <f>238755/1000000</f>
        <v>0.238755</v>
      </c>
      <c r="F44" s="16">
        <f>240857/1000000</f>
        <v>0.24085699999999999</v>
      </c>
      <c r="G44" s="15">
        <v>2.1030000000000002</v>
      </c>
      <c r="H44" s="15">
        <f>(G44/B44)*100</f>
        <v>21.974921630094045</v>
      </c>
      <c r="I44" s="29"/>
      <c r="J44" s="30"/>
    </row>
    <row r="45" spans="1:10" ht="14">
      <c r="A45" s="6">
        <v>14</v>
      </c>
      <c r="B45" s="20">
        <v>10.91</v>
      </c>
      <c r="C45" s="21">
        <v>1</v>
      </c>
      <c r="D45" s="8">
        <v>2.597</v>
      </c>
      <c r="E45" s="9">
        <f>67317/1000000</f>
        <v>6.7317000000000002E-2</v>
      </c>
      <c r="F45" s="9">
        <f>69913/1000000</f>
        <v>6.9913000000000003E-2</v>
      </c>
      <c r="G45" s="8">
        <v>2.597</v>
      </c>
      <c r="H45" s="8">
        <f>(G45/B45)*100</f>
        <v>23.803849679193402</v>
      </c>
      <c r="I45" s="22">
        <f>B45*J45/100</f>
        <v>3.1117147832462644</v>
      </c>
      <c r="J45" s="24">
        <v>28.521675373476299</v>
      </c>
    </row>
    <row r="46" spans="1:10" ht="14">
      <c r="A46" s="6">
        <v>15</v>
      </c>
      <c r="B46" s="20">
        <v>12.26</v>
      </c>
      <c r="C46" s="21">
        <v>3</v>
      </c>
      <c r="D46" s="8">
        <v>3.589</v>
      </c>
      <c r="E46" s="9">
        <f>383540/1000000</f>
        <v>0.38353999999999999</v>
      </c>
      <c r="F46" s="9">
        <f>387128/1000000</f>
        <v>0.38712800000000003</v>
      </c>
      <c r="G46" s="25">
        <f>D46+D47+D48</f>
        <v>10.657999999999999</v>
      </c>
      <c r="H46" s="8">
        <f>(G46/B46)*100</f>
        <v>86.933115823817289</v>
      </c>
      <c r="I46" s="22">
        <f>B46*J46/100</f>
        <v>2.2099012647898792</v>
      </c>
      <c r="J46" s="24">
        <v>18.0252957976336</v>
      </c>
    </row>
    <row r="47" spans="1:10" ht="14">
      <c r="A47" s="6">
        <v>15</v>
      </c>
      <c r="B47" s="20">
        <v>12.26</v>
      </c>
      <c r="C47" s="21">
        <v>3</v>
      </c>
      <c r="D47" s="8">
        <v>2.4820000000000002</v>
      </c>
      <c r="E47" s="9">
        <f>388200/1000000</f>
        <v>0.38819999999999999</v>
      </c>
      <c r="F47" s="9">
        <f>390681/1000000</f>
        <v>0.390681</v>
      </c>
      <c r="G47" s="25"/>
      <c r="H47" s="8"/>
      <c r="I47" s="22"/>
      <c r="J47" s="24"/>
    </row>
    <row r="48" spans="1:10" ht="14">
      <c r="A48" s="6">
        <v>15</v>
      </c>
      <c r="B48" s="20">
        <v>12.26</v>
      </c>
      <c r="C48" s="21">
        <v>3</v>
      </c>
      <c r="D48" s="8">
        <v>4.5869999999999997</v>
      </c>
      <c r="E48" s="9">
        <f>394694/1000000</f>
        <v>0.39469399999999999</v>
      </c>
      <c r="F48" s="9">
        <f>399280/1000000</f>
        <v>0.39928000000000002</v>
      </c>
      <c r="G48" s="25"/>
      <c r="H48" s="8"/>
      <c r="I48" s="22"/>
      <c r="J48" s="24"/>
    </row>
    <row r="49" spans="1:10" ht="14">
      <c r="A49" s="6">
        <v>16</v>
      </c>
      <c r="B49" s="20">
        <v>10.59</v>
      </c>
      <c r="C49" s="21">
        <v>2</v>
      </c>
      <c r="D49" s="8">
        <v>6.5819999999999999</v>
      </c>
      <c r="E49" s="9">
        <f>331488/1000000</f>
        <v>0.331488</v>
      </c>
      <c r="F49" s="9">
        <f>338069/1000000</f>
        <v>0.33806900000000001</v>
      </c>
      <c r="G49" s="25">
        <f>D49+D50</f>
        <v>8.7029999999999994</v>
      </c>
      <c r="H49" s="8">
        <f>(G49/B49)*100</f>
        <v>82.181303116147305</v>
      </c>
      <c r="I49" s="22">
        <f>B49*J49/100</f>
        <v>3.8173604684106159</v>
      </c>
      <c r="J49" s="24">
        <v>36.046841061478901</v>
      </c>
    </row>
    <row r="50" spans="1:10" ht="14">
      <c r="A50" s="6">
        <v>16</v>
      </c>
      <c r="B50" s="20">
        <v>10.59</v>
      </c>
      <c r="C50" s="21">
        <v>2</v>
      </c>
      <c r="D50" s="8">
        <v>2.121</v>
      </c>
      <c r="E50" s="9">
        <f>338785/1000000</f>
        <v>0.338785</v>
      </c>
      <c r="F50" s="9">
        <f>340905/1000000</f>
        <v>0.34090500000000001</v>
      </c>
      <c r="G50" s="25"/>
      <c r="H50" s="8"/>
      <c r="I50" s="22"/>
      <c r="J50" s="24"/>
    </row>
    <row r="51" spans="1:10" ht="14">
      <c r="A51" s="6">
        <v>17</v>
      </c>
      <c r="B51" s="20">
        <v>11.94</v>
      </c>
      <c r="C51" s="21">
        <v>1</v>
      </c>
      <c r="D51" s="8">
        <v>9.1370000000000005</v>
      </c>
      <c r="E51" s="9">
        <f>411746/1000000</f>
        <v>0.411746</v>
      </c>
      <c r="F51" s="9">
        <f>420882/1000000</f>
        <v>0.42088199999999998</v>
      </c>
      <c r="G51" s="8">
        <v>9.1370000000000005</v>
      </c>
      <c r="H51" s="8">
        <f>(G51/B51)*100</f>
        <v>76.524288107202693</v>
      </c>
      <c r="I51" s="22">
        <f>B51*J51/100</f>
        <v>3.0820325067024106</v>
      </c>
      <c r="J51" s="24">
        <v>25.8126675603217</v>
      </c>
    </row>
    <row r="52" spans="1:10" ht="14">
      <c r="A52" s="6">
        <v>18</v>
      </c>
      <c r="B52" s="20">
        <v>13</v>
      </c>
      <c r="C52" s="21">
        <v>1</v>
      </c>
      <c r="D52" s="8">
        <v>8.2780000000000005</v>
      </c>
      <c r="E52" s="9">
        <f>162252/1000000</f>
        <v>0.16225200000000001</v>
      </c>
      <c r="F52" s="9">
        <f>170529/1000000</f>
        <v>0.17052899999999999</v>
      </c>
      <c r="G52" s="8">
        <v>8.2780000000000005</v>
      </c>
      <c r="H52" s="8">
        <f>(G52/B52)*100</f>
        <v>63.676923076923075</v>
      </c>
      <c r="I52" s="22">
        <f>B52*J52/100</f>
        <v>0.34199999999999986</v>
      </c>
      <c r="J52" s="24">
        <v>2.6307692307692299</v>
      </c>
    </row>
    <row r="53" spans="1:10" ht="14">
      <c r="A53" s="6">
        <v>19</v>
      </c>
      <c r="B53" s="20">
        <v>11.16</v>
      </c>
      <c r="C53" s="21">
        <v>1</v>
      </c>
      <c r="D53" s="8">
        <v>4.9640000000000004</v>
      </c>
      <c r="E53" s="9">
        <f>151492/1000000</f>
        <v>0.15149199999999999</v>
      </c>
      <c r="F53" s="9">
        <f>156455/1000000</f>
        <v>0.15645500000000001</v>
      </c>
      <c r="G53" s="8">
        <v>4.9640000000000004</v>
      </c>
      <c r="H53" s="8">
        <f>(G53/B53)*100</f>
        <v>44.480286738351261</v>
      </c>
      <c r="I53" s="22"/>
      <c r="J53" s="24"/>
    </row>
    <row r="54" spans="1:10" ht="14">
      <c r="A54" s="6">
        <v>20</v>
      </c>
      <c r="B54" s="26">
        <v>10.49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2">
        <f>B54*J54/100</f>
        <v>0.96472410178214052</v>
      </c>
      <c r="J54" s="24">
        <v>9.1966072619841803</v>
      </c>
    </row>
    <row r="55" spans="1:10" ht="14">
      <c r="A55" s="13">
        <v>21</v>
      </c>
      <c r="B55" s="27">
        <v>6.39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9">
        <f>B55*J55/100</f>
        <v>0.10093681576477941</v>
      </c>
      <c r="J55" s="30">
        <v>1.57960588051298</v>
      </c>
    </row>
  </sheetData>
  <mergeCells count="1">
    <mergeCell ref="A1:J1"/>
  </mergeCells>
  <phoneticPr fontId="5" type="noConversion"/>
  <pageMargins left="0.75000000000000011" right="0.75000000000000011" top="1" bottom="1" header="0.51" footer="0.51"/>
  <pageSetup paperSize="9" scale="50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5673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Klaas Schotanus</cp:lastModifiedBy>
  <cp:revision>7</cp:revision>
  <cp:lastPrinted>2015-08-29T16:02:27Z</cp:lastPrinted>
  <dcterms:created xsi:type="dcterms:W3CDTF">2015-03-20T16:40:15Z</dcterms:created>
  <dcterms:modified xsi:type="dcterms:W3CDTF">2015-08-29T16:02:38Z</dcterms:modified>
  <dc:language>en-US</dc:language>
</cp:coreProperties>
</file>