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122"/>
  <workbookPr autoCompressPictures="0"/>
  <bookViews>
    <workbookView xWindow="480" yWindow="480" windowWidth="25120" windowHeight="15580" tabRatio="853"/>
  </bookViews>
  <sheets>
    <sheet name="Table S5" sheetId="6" r:id="rId1"/>
  </sheets>
  <definedNames>
    <definedName name="_xlnm.Print_Area" localSheetId="0">'Table S5'!$A$1:$M$45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" i="6" l="1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J41" i="6"/>
  <c r="E41" i="6"/>
  <c r="D41" i="6"/>
  <c r="J40" i="6"/>
  <c r="E40" i="6"/>
  <c r="D40" i="6"/>
  <c r="J39" i="6"/>
  <c r="E39" i="6"/>
  <c r="D39" i="6"/>
  <c r="J38" i="6"/>
  <c r="E38" i="6"/>
  <c r="D38" i="6"/>
  <c r="J37" i="6"/>
  <c r="E37" i="6"/>
  <c r="D37" i="6"/>
  <c r="J36" i="6"/>
  <c r="E36" i="6"/>
  <c r="D36" i="6"/>
  <c r="J35" i="6"/>
  <c r="E35" i="6"/>
  <c r="D35" i="6"/>
  <c r="J34" i="6"/>
  <c r="E34" i="6"/>
  <c r="D34" i="6"/>
  <c r="J33" i="6"/>
  <c r="E33" i="6"/>
  <c r="D33" i="6"/>
  <c r="J32" i="6"/>
  <c r="E32" i="6"/>
  <c r="D32" i="6"/>
  <c r="J31" i="6"/>
  <c r="E31" i="6"/>
  <c r="D31" i="6"/>
  <c r="J30" i="6"/>
  <c r="E30" i="6"/>
  <c r="D30" i="6"/>
  <c r="J29" i="6"/>
  <c r="E29" i="6"/>
  <c r="D29" i="6"/>
  <c r="J28" i="6"/>
  <c r="E28" i="6"/>
  <c r="D28" i="6"/>
  <c r="J27" i="6"/>
  <c r="E27" i="6"/>
  <c r="D27" i="6"/>
  <c r="J26" i="6"/>
  <c r="E26" i="6"/>
  <c r="D26" i="6"/>
  <c r="J25" i="6"/>
  <c r="E25" i="6"/>
  <c r="D25" i="6"/>
  <c r="J24" i="6"/>
  <c r="E24" i="6"/>
  <c r="D24" i="6"/>
  <c r="J23" i="6"/>
  <c r="E23" i="6"/>
  <c r="D23" i="6"/>
  <c r="J22" i="6"/>
  <c r="E22" i="6"/>
  <c r="D22" i="6"/>
  <c r="J21" i="6"/>
  <c r="E21" i="6"/>
  <c r="D21" i="6"/>
  <c r="J20" i="6"/>
  <c r="E20" i="6"/>
  <c r="D20" i="6"/>
  <c r="J19" i="6"/>
  <c r="E19" i="6"/>
  <c r="D19" i="6"/>
  <c r="J18" i="6"/>
  <c r="E18" i="6"/>
  <c r="D18" i="6"/>
  <c r="J17" i="6"/>
  <c r="E17" i="6"/>
  <c r="D17" i="6"/>
  <c r="J16" i="6"/>
  <c r="E16" i="6"/>
  <c r="D16" i="6"/>
  <c r="J15" i="6"/>
  <c r="E15" i="6"/>
  <c r="D15" i="6"/>
  <c r="J14" i="6"/>
  <c r="E14" i="6"/>
  <c r="D14" i="6"/>
  <c r="J13" i="6"/>
  <c r="E13" i="6"/>
  <c r="D13" i="6"/>
  <c r="J12" i="6"/>
  <c r="E12" i="6"/>
  <c r="D12" i="6"/>
  <c r="J11" i="6"/>
  <c r="E11" i="6"/>
  <c r="D11" i="6"/>
  <c r="J10" i="6"/>
  <c r="E10" i="6"/>
  <c r="D10" i="6"/>
  <c r="J9" i="6"/>
  <c r="E9" i="6"/>
  <c r="D9" i="6"/>
  <c r="J8" i="6"/>
  <c r="E8" i="6"/>
  <c r="D8" i="6"/>
  <c r="J7" i="6"/>
  <c r="E7" i="6"/>
  <c r="D7" i="6"/>
  <c r="J6" i="6"/>
  <c r="E6" i="6"/>
  <c r="D6" i="6"/>
  <c r="J5" i="6"/>
  <c r="E5" i="6"/>
  <c r="D5" i="6"/>
  <c r="J4" i="6"/>
  <c r="E4" i="6"/>
  <c r="D4" i="6"/>
  <c r="J3" i="6"/>
  <c r="E3" i="6"/>
  <c r="D3" i="6"/>
</calcChain>
</file>

<file path=xl/sharedStrings.xml><?xml version="1.0" encoding="utf-8"?>
<sst xmlns="http://schemas.openxmlformats.org/spreadsheetml/2006/main" count="240" uniqueCount="138">
  <si>
    <t>Zt09_chr_19_00024</t>
  </si>
  <si>
    <r>
      <t>Table S5. Putative genes in centromeric regions and their expression.</t>
    </r>
    <r>
      <rPr>
        <sz val="11"/>
        <rFont val="Calibri"/>
        <family val="2"/>
      </rPr>
      <t xml:space="preserve"> In total, 39 putative genes were located within or overlapping centromeric regions. Genes with a mean RPKM value &gt;2 are considered expressed (indicated by √). Expression data were from a previous study [14] and both the original JGI [11] and our new gene IDs [12] are shown. Expression levels for control genes (GAP-DH, histone H3, beta-tubulin and CenH3) are shown for comparison. The mean expression level (with standard deviation) of centromeric genes on core chromosomes was 385.4 ±1881.1 and on accessory chromosomes 1.72 ±2.8.</t>
    </r>
    <phoneticPr fontId="3" type="noConversion"/>
  </si>
  <si>
    <t>Zt09_chr_20_00026</t>
  </si>
  <si>
    <t>Cen2</t>
  </si>
  <si>
    <t>Cen3</t>
  </si>
  <si>
    <t>Cen4</t>
  </si>
  <si>
    <t>Cen5</t>
  </si>
  <si>
    <t>Cen6</t>
  </si>
  <si>
    <t>Cen7</t>
  </si>
  <si>
    <t>Cen8</t>
  </si>
  <si>
    <t>Cen9</t>
  </si>
  <si>
    <t>Cen10</t>
  </si>
  <si>
    <t>Zt09_chr_1_01343</t>
  </si>
  <si>
    <t>Zt09_chr_1_01342</t>
  </si>
  <si>
    <t>Zt09_chr_1_01345</t>
  </si>
  <si>
    <t>Zt09_chr_2_00137</t>
  </si>
  <si>
    <t>Zt09_chr_2_00138</t>
  </si>
  <si>
    <t>Zt09_chr_3_01102</t>
  </si>
  <si>
    <t>Zt09_chr_3_01103</t>
  </si>
  <si>
    <t>Zt09_chr_3_01104</t>
  </si>
  <si>
    <t>Zt09_chr_3_01105</t>
  </si>
  <si>
    <t>Zt09_chr_4_00050</t>
  </si>
  <si>
    <t>Zt09_chr_5_00800</t>
  </si>
  <si>
    <t>Zt09_chr_6_00159</t>
  </si>
  <si>
    <t>Zt09_chr_7_00069</t>
  </si>
  <si>
    <t>Zt09_chr_8_00053</t>
  </si>
  <si>
    <t>Zt09_chr_8_00055</t>
  </si>
  <si>
    <t>Zt09_chr_10_00031</t>
  </si>
  <si>
    <t>Zt09_chr_11_00112</t>
  </si>
  <si>
    <t>Zt09_chr_12_00037</t>
  </si>
  <si>
    <t>Zt09_chr_12_00038</t>
  </si>
  <si>
    <t>Zt09_chr_12_00039</t>
  </si>
  <si>
    <t>Zt09_chr_12_00040</t>
  </si>
  <si>
    <t>Zt09_chr_13_00075</t>
  </si>
  <si>
    <t>Zt09_chr_16_00057</t>
  </si>
  <si>
    <t>Zt09_chr_20_00023</t>
  </si>
  <si>
    <t>Zt09_chr_20_00024</t>
  </si>
  <si>
    <t>Zt09_chr_2_00354</t>
  </si>
  <si>
    <t>Zt09_chr_6_00257</t>
  </si>
  <si>
    <t>Zt09_chr_1_01986</t>
  </si>
  <si>
    <t>Zt09_chr_8_00234</t>
  </si>
  <si>
    <t>Zt09_chr_1_01344</t>
  </si>
  <si>
    <t>Zt09_chr_7_00066</t>
  </si>
  <si>
    <t>Zt09_chr_7_00067</t>
  </si>
  <si>
    <t>Zt09_chr_7_00068</t>
  </si>
  <si>
    <t>Zt09_chr_8_00054</t>
  </si>
  <si>
    <t>Zt09_chr_9_00616</t>
  </si>
  <si>
    <t>Zt09_chr_9_00617</t>
  </si>
  <si>
    <t>Zt09_chr_14_00002</t>
  </si>
  <si>
    <t>Zt09_chr_15_00059</t>
  </si>
  <si>
    <t>Zt09_chr_15_00060</t>
  </si>
  <si>
    <t>Zt09_chr_15_00061</t>
  </si>
  <si>
    <t>Zt09_chr_20_00025</t>
  </si>
  <si>
    <t>Cen19</t>
  </si>
  <si>
    <t>Cen20</t>
  </si>
  <si>
    <t>Start (Mb)</t>
  </si>
  <si>
    <t>Stop (Mb)</t>
  </si>
  <si>
    <t>Centromere</t>
  </si>
  <si>
    <t>3.8393-3.8518</t>
  </si>
  <si>
    <t>√</t>
  </si>
  <si>
    <t>JGI|66658</t>
  </si>
  <si>
    <t>similar to Fe-containing alcohol dehydrogenase</t>
  </si>
  <si>
    <t>JGI|26410</t>
  </si>
  <si>
    <t>Cen1</t>
  </si>
  <si>
    <t>similar to arogenate dehydratase</t>
  </si>
  <si>
    <t>none</t>
  </si>
  <si>
    <t>hypothetical protein</t>
  </si>
  <si>
    <t>JGI|89702</t>
  </si>
  <si>
    <t>predicted protein</t>
  </si>
  <si>
    <t>0.5129-0.5219</t>
  </si>
  <si>
    <t>JGI|90417</t>
  </si>
  <si>
    <t>JGI|90418</t>
  </si>
  <si>
    <t>3.3483-3.3565</t>
  </si>
  <si>
    <t>JGI|70541</t>
  </si>
  <si>
    <t>similar to fatty acid hydroxylase superfamily protein</t>
  </si>
  <si>
    <t>JGI|92186</t>
  </si>
  <si>
    <t>JGI|92187</t>
  </si>
  <si>
    <t>similar to efflux pump antibiotic resistance protein</t>
  </si>
  <si>
    <t>JGI|39735</t>
  </si>
  <si>
    <t>0.2171-0.2266</t>
  </si>
  <si>
    <t>JGI|108931</t>
  </si>
  <si>
    <t>2.6041-2.6147</t>
  </si>
  <si>
    <t>JGI|72635</t>
  </si>
  <si>
    <t>similar to 4-aminobutyrate aminotransferase</t>
  </si>
  <si>
    <t>0.6251-0.6376</t>
  </si>
  <si>
    <t>JGI|93730</t>
  </si>
  <si>
    <t>0.2558-0.2662</t>
  </si>
  <si>
    <t>JGI|105049</t>
  </si>
  <si>
    <t>0.2139-0.2274</t>
  </si>
  <si>
    <t>JGI|94908</t>
  </si>
  <si>
    <t>JGI|94910</t>
  </si>
  <si>
    <t>2.0676-2.0761</t>
  </si>
  <si>
    <t>0.9972-0.1094</t>
  </si>
  <si>
    <t>JGI|105826</t>
  </si>
  <si>
    <t>0.3651-0.3735</t>
  </si>
  <si>
    <t>JGI|96529</t>
  </si>
  <si>
    <t>0.1802-0.1882</t>
  </si>
  <si>
    <t>JGI|106260</t>
  </si>
  <si>
    <t>JGI|96901</t>
  </si>
  <si>
    <t>JGI|96902</t>
  </si>
  <si>
    <t>JGI|96903</t>
  </si>
  <si>
    <t>0.2350-0.2426</t>
  </si>
  <si>
    <t>JGI|111601</t>
  </si>
  <si>
    <t>0.0599-0.0708</t>
  </si>
  <si>
    <t>0.3825-0.3947</t>
  </si>
  <si>
    <t>0.3320-0.3426</t>
  </si>
  <si>
    <t>JGI|97743</t>
  </si>
  <si>
    <t>0.1482-0.1594</t>
  </si>
  <si>
    <t>0.0947-0.0105</t>
  </si>
  <si>
    <t>JGI|98014</t>
  </si>
  <si>
    <t>JGI|98015</t>
  </si>
  <si>
    <t>0.0947-0.1052</t>
  </si>
  <si>
    <t>GAP-DH</t>
  </si>
  <si>
    <t>JGI|99044</t>
  </si>
  <si>
    <t>histone H3</t>
  </si>
  <si>
    <t>JGI|104812</t>
  </si>
  <si>
    <t>beta-tubulin</t>
  </si>
  <si>
    <t>JGI|102950</t>
  </si>
  <si>
    <t>CenH3</t>
  </si>
  <si>
    <t>Cen11</t>
  </si>
  <si>
    <t>Cen12</t>
  </si>
  <si>
    <t>Cen13</t>
  </si>
  <si>
    <t>Cen14</t>
  </si>
  <si>
    <t>Cen15</t>
  </si>
  <si>
    <t>Cen16</t>
  </si>
  <si>
    <t>centromeric histone H3</t>
  </si>
  <si>
    <t>Centromeric location (Mb)</t>
  </si>
  <si>
    <t>Replicate 1 (RPKM)</t>
  </si>
  <si>
    <t>Replicate 2 (RPKM)</t>
  </si>
  <si>
    <t>Replicate 3 (RPKM)</t>
  </si>
  <si>
    <t>Mean (RPKM)</t>
  </si>
  <si>
    <t>Expressed (RPKM&gt;=2)</t>
  </si>
  <si>
    <t>Gene overlapping Cen</t>
  </si>
  <si>
    <t>Function</t>
  </si>
  <si>
    <t xml:space="preserve"> </t>
    <phoneticPr fontId="3" type="noConversion"/>
  </si>
  <si>
    <r>
      <t xml:space="preserve">JGI </t>
    </r>
    <r>
      <rPr>
        <b/>
        <sz val="11"/>
        <rFont val="Calibri"/>
        <family val="2"/>
      </rPr>
      <t xml:space="preserve">locus </t>
    </r>
    <r>
      <rPr>
        <b/>
        <sz val="11"/>
        <rFont val="Calibri"/>
        <scheme val="minor"/>
      </rPr>
      <t>ID</t>
    </r>
    <phoneticPr fontId="3" type="noConversion"/>
  </si>
  <si>
    <r>
      <t xml:space="preserve">locus </t>
    </r>
    <r>
      <rPr>
        <b/>
        <sz val="11"/>
        <rFont val="Calibri"/>
        <scheme val="minor"/>
      </rPr>
      <t>ID</t>
    </r>
    <phoneticPr fontId="3" type="noConversion"/>
  </si>
  <si>
    <t>JGI|74593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</si>
</sst>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000"/>
    <numFmt numFmtId="167" formatCode="0.000"/>
  </numFmts>
  <fonts count="8" x14ac:knownFonts="1">
    <font>
      <sz val="10"/>
      <name val="Arial"/>
    </font>
    <font>
      <sz val="11"/>
      <name val="Calibri"/>
      <family val="2"/>
    </font>
    <font>
      <b/>
      <sz val="11"/>
      <name val="Calibri"/>
      <family val="2"/>
    </font>
    <font>
      <sz val="8"/>
      <name val="Verdana"/>
    </font>
    <font>
      <sz val="10"/>
      <name val="Arial"/>
    </font>
    <font>
      <b/>
      <sz val="11"/>
      <name val="Calibri"/>
      <scheme val="minor"/>
    </font>
    <font>
      <sz val="11"/>
      <name val="Calibri"/>
      <scheme val="minor"/>
    </font>
    <font>
      <sz val="11"/>
      <color indexed="8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wrapText="1"/>
    </xf>
    <xf numFmtId="167" fontId="5" fillId="2" borderId="1" xfId="0" applyNumberFormat="1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6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right"/>
    </xf>
    <xf numFmtId="167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6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167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0" borderId="0" xfId="0" applyFont="1" applyBorder="1"/>
    <xf numFmtId="2" fontId="7" fillId="2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1" xfId="0" applyFont="1" applyBorder="1"/>
    <xf numFmtId="2" fontId="7" fillId="2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/>
    </xf>
    <xf numFmtId="2" fontId="6" fillId="0" borderId="0" xfId="0" applyNumberFormat="1" applyFont="1"/>
    <xf numFmtId="0" fontId="6" fillId="0" borderId="0" xfId="0" applyFont="1" applyAlignment="1">
      <alignment horizontal="left"/>
    </xf>
    <xf numFmtId="167" fontId="6" fillId="2" borderId="0" xfId="0" applyNumberFormat="1" applyFont="1" applyFill="1" applyBorder="1" applyAlignment="1">
      <alignment horizontal="left"/>
    </xf>
    <xf numFmtId="167" fontId="6" fillId="2" borderId="1" xfId="0" applyNumberFormat="1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 wrapText="1"/>
    </xf>
    <xf numFmtId="1" fontId="7" fillId="2" borderId="0" xfId="0" applyNumberFormat="1" applyFont="1" applyFill="1" applyBorder="1" applyAlignment="1">
      <alignment horizontal="left"/>
    </xf>
    <xf numFmtId="1" fontId="7" fillId="2" borderId="1" xfId="0" applyNumberFormat="1" applyFont="1" applyFill="1" applyBorder="1" applyAlignment="1">
      <alignment horizontal="left"/>
    </xf>
    <xf numFmtId="167" fontId="2" fillId="2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47"/>
  <sheetViews>
    <sheetView showGridLines="0" tabSelected="1" workbookViewId="0">
      <selection sqref="A1:M45"/>
    </sheetView>
  </sheetViews>
  <sheetFormatPr baseColWidth="10" defaultColWidth="8.83203125" defaultRowHeight="12" x14ac:dyDescent="0"/>
  <cols>
    <col min="1" max="1" width="12.5" style="2" customWidth="1"/>
    <col min="2" max="2" width="20.6640625" style="30" customWidth="1"/>
    <col min="3" max="3" width="15.33203125" style="2" bestFit="1" customWidth="1"/>
    <col min="4" max="5" width="8" style="2" bestFit="1" customWidth="1"/>
    <col min="6" max="6" width="11.5" style="2" customWidth="1"/>
    <col min="7" max="7" width="10.83203125" style="2" customWidth="1"/>
    <col min="8" max="8" width="10.1640625" style="2" customWidth="1"/>
    <col min="9" max="9" width="10.33203125" style="2" bestFit="1" customWidth="1"/>
    <col min="10" max="10" width="10" style="2" customWidth="1"/>
    <col min="11" max="11" width="11.6640625" style="2" customWidth="1"/>
    <col min="12" max="12" width="11.6640625" style="30" customWidth="1"/>
    <col min="13" max="13" width="47.5" style="2" customWidth="1"/>
    <col min="15" max="16384" width="8.83203125" style="2"/>
  </cols>
  <sheetData>
    <row r="1" spans="1:16" customFormat="1" ht="54" customHeight="1">
      <c r="A1" s="35" t="s">
        <v>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O1" s="5"/>
      <c r="P1" s="5"/>
    </row>
    <row r="2" spans="1:16" ht="42">
      <c r="A2" s="3" t="s">
        <v>57</v>
      </c>
      <c r="B2" s="34" t="s">
        <v>136</v>
      </c>
      <c r="C2" s="3" t="s">
        <v>126</v>
      </c>
      <c r="D2" s="3" t="s">
        <v>55</v>
      </c>
      <c r="E2" s="3" t="s">
        <v>56</v>
      </c>
      <c r="F2" s="4" t="s">
        <v>127</v>
      </c>
      <c r="G2" s="4" t="s">
        <v>128</v>
      </c>
      <c r="H2" s="4" t="s">
        <v>129</v>
      </c>
      <c r="I2" s="4" t="s">
        <v>130</v>
      </c>
      <c r="J2" s="4" t="s">
        <v>131</v>
      </c>
      <c r="K2" s="4" t="s">
        <v>132</v>
      </c>
      <c r="L2" s="31" t="s">
        <v>135</v>
      </c>
      <c r="M2" s="3" t="s">
        <v>133</v>
      </c>
      <c r="O2" s="12"/>
      <c r="P2" s="12"/>
    </row>
    <row r="3" spans="1:16" ht="14">
      <c r="A3" s="6" t="s">
        <v>63</v>
      </c>
      <c r="B3" s="21" t="s">
        <v>13</v>
      </c>
      <c r="C3" s="7" t="s">
        <v>58</v>
      </c>
      <c r="D3" s="8">
        <f>3837904/1000000</f>
        <v>3.837904</v>
      </c>
      <c r="E3" s="8">
        <f>3839492/1000000</f>
        <v>3.8394919999999999</v>
      </c>
      <c r="F3" s="9">
        <v>297.58462271719998</v>
      </c>
      <c r="G3" s="9">
        <v>280.7785699428</v>
      </c>
      <c r="H3" s="9">
        <v>317.52743642550001</v>
      </c>
      <c r="I3" s="9">
        <f t="shared" ref="I3:I41" si="0">SUM(F3+G3+H3)/3</f>
        <v>298.63020969516668</v>
      </c>
      <c r="J3" s="10" t="str">
        <f t="shared" ref="J3:J41" si="1">IF(OR(F3&gt;=2,G3&gt;=2,H3&gt;=2),"√","")</f>
        <v>√</v>
      </c>
      <c r="K3" s="6" t="s">
        <v>59</v>
      </c>
      <c r="L3" s="11" t="s">
        <v>60</v>
      </c>
      <c r="M3" s="11" t="s">
        <v>61</v>
      </c>
      <c r="O3" s="12"/>
      <c r="P3" s="12"/>
    </row>
    <row r="4" spans="1:16" ht="14">
      <c r="A4" s="6" t="s">
        <v>63</v>
      </c>
      <c r="B4" s="27" t="s">
        <v>12</v>
      </c>
      <c r="C4" s="7" t="s">
        <v>58</v>
      </c>
      <c r="D4" s="8">
        <f>3839581/1000000</f>
        <v>3.8395809999999999</v>
      </c>
      <c r="E4" s="8">
        <f>3840506/1000000</f>
        <v>3.840506</v>
      </c>
      <c r="F4" s="9">
        <v>2.9009897514</v>
      </c>
      <c r="G4" s="9">
        <v>7.2370493516999996</v>
      </c>
      <c r="H4" s="9">
        <v>10.4074167094</v>
      </c>
      <c r="I4" s="9">
        <f t="shared" si="0"/>
        <v>6.8484852708333328</v>
      </c>
      <c r="J4" s="10" t="str">
        <f t="shared" si="1"/>
        <v>√</v>
      </c>
      <c r="K4" s="10"/>
      <c r="L4" s="11" t="s">
        <v>62</v>
      </c>
      <c r="M4" s="11" t="s">
        <v>64</v>
      </c>
      <c r="O4" s="12"/>
      <c r="P4" s="12"/>
    </row>
    <row r="5" spans="1:16" ht="14">
      <c r="A5" s="6" t="s">
        <v>63</v>
      </c>
      <c r="B5" s="27" t="s">
        <v>41</v>
      </c>
      <c r="C5" s="7" t="s">
        <v>58</v>
      </c>
      <c r="D5" s="8">
        <f>3840795/1000000</f>
        <v>3.840795</v>
      </c>
      <c r="E5" s="8">
        <f>3841956/1000000</f>
        <v>3.8419560000000001</v>
      </c>
      <c r="F5" s="9">
        <v>1.1700093791999999</v>
      </c>
      <c r="G5" s="9">
        <v>2.8750640241999998</v>
      </c>
      <c r="H5" s="9">
        <v>4.9857887087000003</v>
      </c>
      <c r="I5" s="9">
        <f t="shared" si="0"/>
        <v>3.0102873707</v>
      </c>
      <c r="J5" s="10" t="str">
        <f t="shared" si="1"/>
        <v>√</v>
      </c>
      <c r="K5" s="10"/>
      <c r="L5" s="11" t="s">
        <v>65</v>
      </c>
      <c r="M5" s="11" t="s">
        <v>66</v>
      </c>
      <c r="O5" s="12"/>
      <c r="P5" s="12"/>
    </row>
    <row r="6" spans="1:16" ht="14">
      <c r="A6" s="6" t="s">
        <v>63</v>
      </c>
      <c r="B6" s="27" t="s">
        <v>14</v>
      </c>
      <c r="C6" s="7" t="s">
        <v>58</v>
      </c>
      <c r="D6" s="8">
        <f>3842408/1000000</f>
        <v>3.8424079999999998</v>
      </c>
      <c r="E6" s="8">
        <f>3843148/1000000</f>
        <v>3.8431479999999998</v>
      </c>
      <c r="F6" s="9">
        <v>0.62573466209999995</v>
      </c>
      <c r="G6" s="9">
        <v>2.7631895857000002</v>
      </c>
      <c r="H6" s="9">
        <v>4.1145830835000003</v>
      </c>
      <c r="I6" s="9">
        <f t="shared" si="0"/>
        <v>2.5011691104333336</v>
      </c>
      <c r="J6" s="10" t="str">
        <f t="shared" si="1"/>
        <v>√</v>
      </c>
      <c r="K6" s="10"/>
      <c r="L6" s="11" t="s">
        <v>67</v>
      </c>
      <c r="M6" s="11" t="s">
        <v>68</v>
      </c>
      <c r="O6" s="12"/>
      <c r="P6" s="12"/>
    </row>
    <row r="7" spans="1:16" ht="14">
      <c r="A7" s="6" t="s">
        <v>3</v>
      </c>
      <c r="B7" s="27" t="s">
        <v>15</v>
      </c>
      <c r="C7" s="7" t="s">
        <v>69</v>
      </c>
      <c r="D7" s="8">
        <f>509400/1000000</f>
        <v>0.50939999999999996</v>
      </c>
      <c r="E7" s="8">
        <f>513749/1000000</f>
        <v>0.51374900000000001</v>
      </c>
      <c r="F7" s="9">
        <v>5.3799945821000001</v>
      </c>
      <c r="G7" s="9">
        <v>18.519038609300001</v>
      </c>
      <c r="H7" s="9">
        <v>19.4502840231</v>
      </c>
      <c r="I7" s="9">
        <f t="shared" si="0"/>
        <v>14.449772404833334</v>
      </c>
      <c r="J7" s="10" t="str">
        <f t="shared" si="1"/>
        <v>√</v>
      </c>
      <c r="K7" s="10" t="s">
        <v>59</v>
      </c>
      <c r="L7" s="11" t="s">
        <v>70</v>
      </c>
      <c r="M7" s="11" t="s">
        <v>68</v>
      </c>
      <c r="O7" s="12"/>
      <c r="P7" s="12"/>
    </row>
    <row r="8" spans="1:16" ht="14">
      <c r="A8" s="6" t="s">
        <v>3</v>
      </c>
      <c r="B8" s="27" t="s">
        <v>16</v>
      </c>
      <c r="C8" s="7" t="s">
        <v>69</v>
      </c>
      <c r="D8" s="8">
        <f>519956/1000000</f>
        <v>0.51995599999999997</v>
      </c>
      <c r="E8" s="8">
        <f>521947/1000000</f>
        <v>0.52194700000000005</v>
      </c>
      <c r="F8" s="9">
        <v>0.33528715139999998</v>
      </c>
      <c r="G8" s="9">
        <v>1.5554162507</v>
      </c>
      <c r="H8" s="9">
        <v>2.0574826865000002</v>
      </c>
      <c r="I8" s="9">
        <f t="shared" si="0"/>
        <v>1.3160620295333334</v>
      </c>
      <c r="J8" s="10" t="str">
        <f t="shared" si="1"/>
        <v>√</v>
      </c>
      <c r="K8" s="10"/>
      <c r="L8" s="11" t="s">
        <v>71</v>
      </c>
      <c r="M8" s="11" t="s">
        <v>66</v>
      </c>
      <c r="O8" s="12"/>
      <c r="P8" s="1" t="s">
        <v>134</v>
      </c>
    </row>
    <row r="9" spans="1:16" ht="14">
      <c r="A9" s="6" t="s">
        <v>4</v>
      </c>
      <c r="B9" s="27" t="s">
        <v>17</v>
      </c>
      <c r="C9" s="7" t="s">
        <v>72</v>
      </c>
      <c r="D9" s="8">
        <f>3350902/1000000</f>
        <v>3.350902</v>
      </c>
      <c r="E9" s="8">
        <f>3351942/1000000</f>
        <v>3.3519420000000002</v>
      </c>
      <c r="F9" s="9">
        <v>5.5429065642999999</v>
      </c>
      <c r="G9" s="9">
        <v>11.774315745199999</v>
      </c>
      <c r="H9" s="9">
        <v>17.6197684035</v>
      </c>
      <c r="I9" s="9">
        <f t="shared" si="0"/>
        <v>11.645663571</v>
      </c>
      <c r="J9" s="10" t="str">
        <f t="shared" si="1"/>
        <v>√</v>
      </c>
      <c r="K9" s="10"/>
      <c r="L9" s="11" t="s">
        <v>73</v>
      </c>
      <c r="M9" s="11" t="s">
        <v>74</v>
      </c>
      <c r="O9" s="12"/>
      <c r="P9" s="12"/>
    </row>
    <row r="10" spans="1:16" ht="14">
      <c r="A10" s="6" t="s">
        <v>4</v>
      </c>
      <c r="B10" s="27" t="s">
        <v>18</v>
      </c>
      <c r="C10" s="7" t="s">
        <v>72</v>
      </c>
      <c r="D10" s="8">
        <f>3352503/1000000</f>
        <v>3.352503</v>
      </c>
      <c r="E10" s="8">
        <f>3353508/1000000</f>
        <v>3.3535080000000002</v>
      </c>
      <c r="F10" s="9">
        <v>0</v>
      </c>
      <c r="G10" s="9">
        <v>1.2011132571000001</v>
      </c>
      <c r="H10" s="9">
        <v>2.1933846897999998</v>
      </c>
      <c r="I10" s="9">
        <f t="shared" si="0"/>
        <v>1.1314993156333333</v>
      </c>
      <c r="J10" s="10" t="str">
        <f t="shared" si="1"/>
        <v>√</v>
      </c>
      <c r="K10" s="10"/>
      <c r="L10" s="11" t="s">
        <v>75</v>
      </c>
      <c r="M10" s="11" t="s">
        <v>68</v>
      </c>
      <c r="O10" s="12"/>
      <c r="P10" s="12"/>
    </row>
    <row r="11" spans="1:16" ht="14">
      <c r="A11" s="6" t="s">
        <v>4</v>
      </c>
      <c r="B11" s="27" t="s">
        <v>19</v>
      </c>
      <c r="C11" s="7" t="s">
        <v>72</v>
      </c>
      <c r="D11" s="8">
        <f>3353952/1000000</f>
        <v>3.353952</v>
      </c>
      <c r="E11" s="8">
        <f>3355749/1000000</f>
        <v>3.3557489999999999</v>
      </c>
      <c r="F11" s="9">
        <v>0.32427374450000002</v>
      </c>
      <c r="G11" s="9">
        <v>1.9150893246</v>
      </c>
      <c r="H11" s="9">
        <v>2.9626807674000002</v>
      </c>
      <c r="I11" s="9">
        <f t="shared" si="0"/>
        <v>1.7340146121666666</v>
      </c>
      <c r="J11" s="10" t="str">
        <f t="shared" si="1"/>
        <v>√</v>
      </c>
      <c r="K11" s="10"/>
      <c r="L11" s="11" t="s">
        <v>76</v>
      </c>
      <c r="M11" s="11" t="s">
        <v>77</v>
      </c>
      <c r="O11" s="12"/>
      <c r="P11" s="12"/>
    </row>
    <row r="12" spans="1:16" ht="14">
      <c r="A12" s="6" t="s">
        <v>4</v>
      </c>
      <c r="B12" s="27" t="s">
        <v>20</v>
      </c>
      <c r="C12" s="7" t="s">
        <v>72</v>
      </c>
      <c r="D12" s="8">
        <f>3356311/1000000</f>
        <v>3.3563109999999998</v>
      </c>
      <c r="E12" s="8">
        <f>3358157/1000000</f>
        <v>3.3581569999999998</v>
      </c>
      <c r="F12" s="9">
        <v>0.85888795829999998</v>
      </c>
      <c r="G12" s="9">
        <v>2.2510305805000002</v>
      </c>
      <c r="H12" s="9">
        <v>2.3006159363999998</v>
      </c>
      <c r="I12" s="9">
        <f t="shared" si="0"/>
        <v>1.8035114917333335</v>
      </c>
      <c r="J12" s="10" t="str">
        <f t="shared" si="1"/>
        <v>√</v>
      </c>
      <c r="K12" s="10" t="s">
        <v>59</v>
      </c>
      <c r="L12" s="11" t="s">
        <v>78</v>
      </c>
      <c r="M12" s="11" t="s">
        <v>66</v>
      </c>
      <c r="O12" s="12"/>
      <c r="P12" s="12"/>
    </row>
    <row r="13" spans="1:16" ht="14">
      <c r="A13" s="6" t="s">
        <v>5</v>
      </c>
      <c r="B13" s="27" t="s">
        <v>21</v>
      </c>
      <c r="C13" s="7" t="s">
        <v>79</v>
      </c>
      <c r="D13" s="8">
        <f>222558/1000000</f>
        <v>0.22255800000000001</v>
      </c>
      <c r="E13" s="8">
        <f>223127/1000000</f>
        <v>0.22312699999999999</v>
      </c>
      <c r="F13" s="9">
        <v>0.64223739079999997</v>
      </c>
      <c r="G13" s="9">
        <v>2.7584818906000002</v>
      </c>
      <c r="H13" s="9">
        <v>3.1404646274000001</v>
      </c>
      <c r="I13" s="9">
        <f t="shared" si="0"/>
        <v>2.1803946362666671</v>
      </c>
      <c r="J13" s="10" t="str">
        <f t="shared" si="1"/>
        <v>√</v>
      </c>
      <c r="K13" s="10"/>
      <c r="L13" s="11" t="s">
        <v>80</v>
      </c>
      <c r="M13" s="11" t="s">
        <v>68</v>
      </c>
      <c r="O13" s="12"/>
      <c r="P13" s="12"/>
    </row>
    <row r="14" spans="1:16" ht="14">
      <c r="A14" s="6" t="s">
        <v>6</v>
      </c>
      <c r="B14" s="27" t="s">
        <v>22</v>
      </c>
      <c r="C14" s="7" t="s">
        <v>81</v>
      </c>
      <c r="D14" s="8">
        <f>2613274/1000000</f>
        <v>2.6132740000000001</v>
      </c>
      <c r="E14" s="8">
        <f>2614696/1000000</f>
        <v>2.6146959999999999</v>
      </c>
      <c r="F14" s="9">
        <v>217.80868954210001</v>
      </c>
      <c r="G14" s="9">
        <v>154.92372631949999</v>
      </c>
      <c r="H14" s="9">
        <v>118.6363400911</v>
      </c>
      <c r="I14" s="9">
        <f t="shared" si="0"/>
        <v>163.78958531756666</v>
      </c>
      <c r="J14" s="10" t="str">
        <f t="shared" si="1"/>
        <v>√</v>
      </c>
      <c r="K14" s="10"/>
      <c r="L14" s="11" t="s">
        <v>82</v>
      </c>
      <c r="M14" s="11" t="s">
        <v>83</v>
      </c>
      <c r="O14" s="12"/>
      <c r="P14" s="12"/>
    </row>
    <row r="15" spans="1:16" ht="14">
      <c r="A15" s="6" t="s">
        <v>7</v>
      </c>
      <c r="B15" s="27" t="s">
        <v>23</v>
      </c>
      <c r="C15" s="6" t="s">
        <v>84</v>
      </c>
      <c r="D15" s="8">
        <f>633812/1000000</f>
        <v>0.63381200000000004</v>
      </c>
      <c r="E15" s="8">
        <f>634267/1000000</f>
        <v>0.63426700000000003</v>
      </c>
      <c r="F15" s="9">
        <v>0</v>
      </c>
      <c r="G15" s="9">
        <v>0</v>
      </c>
      <c r="H15" s="9">
        <v>0</v>
      </c>
      <c r="I15" s="9">
        <f t="shared" si="0"/>
        <v>0</v>
      </c>
      <c r="J15" s="10" t="str">
        <f t="shared" si="1"/>
        <v/>
      </c>
      <c r="K15" s="10"/>
      <c r="L15" s="11" t="s">
        <v>85</v>
      </c>
      <c r="M15" s="11" t="s">
        <v>68</v>
      </c>
      <c r="O15" s="12"/>
      <c r="P15" s="12"/>
    </row>
    <row r="16" spans="1:16" ht="14">
      <c r="A16" s="6" t="s">
        <v>8</v>
      </c>
      <c r="B16" s="26" t="s">
        <v>42</v>
      </c>
      <c r="C16" s="7" t="s">
        <v>86</v>
      </c>
      <c r="D16" s="8">
        <f>256030/1000000</f>
        <v>0.25602999999999998</v>
      </c>
      <c r="E16" s="8">
        <f>258121/1000000</f>
        <v>0.25812099999999999</v>
      </c>
      <c r="F16" s="9">
        <v>1.4906216278</v>
      </c>
      <c r="G16" s="9">
        <v>6.2333105516999998</v>
      </c>
      <c r="H16" s="9">
        <v>6.2218241244000003</v>
      </c>
      <c r="I16" s="9">
        <f t="shared" si="0"/>
        <v>4.6485854346333335</v>
      </c>
      <c r="J16" s="10" t="str">
        <f t="shared" si="1"/>
        <v>√</v>
      </c>
      <c r="K16" s="10"/>
      <c r="L16" s="11" t="s">
        <v>65</v>
      </c>
      <c r="M16" s="11" t="s">
        <v>66</v>
      </c>
      <c r="O16" s="12"/>
      <c r="P16" s="12"/>
    </row>
    <row r="17" spans="1:16" ht="14">
      <c r="A17" s="6" t="s">
        <v>8</v>
      </c>
      <c r="B17" s="26" t="s">
        <v>43</v>
      </c>
      <c r="C17" s="7" t="s">
        <v>86</v>
      </c>
      <c r="D17" s="8">
        <f>258568/1000000</f>
        <v>0.25856800000000002</v>
      </c>
      <c r="E17" s="8">
        <f>260106/1000000</f>
        <v>0.260106</v>
      </c>
      <c r="F17" s="9">
        <v>0.19896001720000001</v>
      </c>
      <c r="G17" s="9">
        <v>1.3396940468</v>
      </c>
      <c r="H17" s="9">
        <v>1.4038644627000001</v>
      </c>
      <c r="I17" s="9">
        <f t="shared" si="0"/>
        <v>0.98083950890000005</v>
      </c>
      <c r="J17" s="10" t="str">
        <f t="shared" si="1"/>
        <v/>
      </c>
      <c r="K17" s="10"/>
      <c r="L17" s="11" t="s">
        <v>65</v>
      </c>
      <c r="M17" s="11" t="s">
        <v>66</v>
      </c>
      <c r="O17" s="12"/>
      <c r="P17" s="12"/>
    </row>
    <row r="18" spans="1:16" ht="14">
      <c r="A18" s="6" t="s">
        <v>8</v>
      </c>
      <c r="B18" s="26" t="s">
        <v>44</v>
      </c>
      <c r="C18" s="7" t="s">
        <v>86</v>
      </c>
      <c r="D18" s="8">
        <f>262539/1000000</f>
        <v>0.26253900000000002</v>
      </c>
      <c r="E18" s="8">
        <f>262893/1000000</f>
        <v>0.26289299999999999</v>
      </c>
      <c r="F18" s="9">
        <v>2.1777659265999998</v>
      </c>
      <c r="G18" s="9">
        <v>5.4563540538000002</v>
      </c>
      <c r="H18" s="9">
        <v>7.1927570607</v>
      </c>
      <c r="I18" s="9">
        <f t="shared" si="0"/>
        <v>4.9422923470333329</v>
      </c>
      <c r="J18" s="10" t="str">
        <f t="shared" si="1"/>
        <v>√</v>
      </c>
      <c r="K18" s="10"/>
      <c r="L18" s="11" t="s">
        <v>65</v>
      </c>
      <c r="M18" s="11" t="s">
        <v>68</v>
      </c>
      <c r="O18" s="12"/>
      <c r="P18" s="12"/>
    </row>
    <row r="19" spans="1:16" ht="14">
      <c r="A19" s="6" t="s">
        <v>8</v>
      </c>
      <c r="B19" s="27" t="s">
        <v>24</v>
      </c>
      <c r="C19" s="7" t="s">
        <v>86</v>
      </c>
      <c r="D19" s="8">
        <f>266233/1000000</f>
        <v>0.266233</v>
      </c>
      <c r="E19" s="8">
        <f>266751/1000000</f>
        <v>0.26675100000000002</v>
      </c>
      <c r="F19" s="9">
        <v>13732.865065550801</v>
      </c>
      <c r="G19" s="9">
        <v>7441.9402367274997</v>
      </c>
      <c r="H19" s="9">
        <v>9295.6845832309009</v>
      </c>
      <c r="I19" s="9">
        <f t="shared" si="0"/>
        <v>10156.8299618364</v>
      </c>
      <c r="J19" s="10" t="str">
        <f t="shared" si="1"/>
        <v>√</v>
      </c>
      <c r="K19" s="10" t="s">
        <v>59</v>
      </c>
      <c r="L19" s="11" t="s">
        <v>87</v>
      </c>
      <c r="M19" s="11" t="s">
        <v>68</v>
      </c>
      <c r="O19" s="12"/>
      <c r="P19" s="12"/>
    </row>
    <row r="20" spans="1:16" ht="14">
      <c r="A20" s="6" t="s">
        <v>9</v>
      </c>
      <c r="B20" s="27" t="s">
        <v>25</v>
      </c>
      <c r="C20" s="7" t="s">
        <v>88</v>
      </c>
      <c r="D20" s="8">
        <f>221729/1000000</f>
        <v>0.22172900000000001</v>
      </c>
      <c r="E20" s="8">
        <f>223069/1000000</f>
        <v>0.22306899999999999</v>
      </c>
      <c r="F20" s="9">
        <v>3.1349672242</v>
      </c>
      <c r="G20" s="9">
        <v>6.7801543109000004</v>
      </c>
      <c r="H20" s="9">
        <v>9.7503675652999995</v>
      </c>
      <c r="I20" s="9">
        <f t="shared" si="0"/>
        <v>6.5551630334666671</v>
      </c>
      <c r="J20" s="10" t="str">
        <f t="shared" si="1"/>
        <v>√</v>
      </c>
      <c r="K20" s="10"/>
      <c r="L20" s="11" t="s">
        <v>89</v>
      </c>
      <c r="M20" s="11" t="s">
        <v>68</v>
      </c>
      <c r="O20" s="12"/>
      <c r="P20" s="12"/>
    </row>
    <row r="21" spans="1:16" ht="14">
      <c r="A21" s="6" t="s">
        <v>9</v>
      </c>
      <c r="B21" s="26" t="s">
        <v>45</v>
      </c>
      <c r="C21" s="7" t="s">
        <v>88</v>
      </c>
      <c r="D21" s="8">
        <f>226117/1000000</f>
        <v>0.22611700000000001</v>
      </c>
      <c r="E21" s="8">
        <f>226707/1000000</f>
        <v>0.22670699999999999</v>
      </c>
      <c r="F21" s="9">
        <v>1.2149108281000001</v>
      </c>
      <c r="G21" s="9">
        <v>1.8752829954000001</v>
      </c>
      <c r="H21" s="9">
        <v>1.9542005844999999</v>
      </c>
      <c r="I21" s="9">
        <f t="shared" si="0"/>
        <v>1.6814648026666665</v>
      </c>
      <c r="J21" s="10" t="str">
        <f t="shared" si="1"/>
        <v/>
      </c>
      <c r="K21" s="10"/>
      <c r="L21" s="11" t="s">
        <v>65</v>
      </c>
      <c r="M21" s="11" t="s">
        <v>68</v>
      </c>
      <c r="O21" s="12"/>
      <c r="P21" s="12"/>
    </row>
    <row r="22" spans="1:16" ht="14">
      <c r="A22" s="6" t="s">
        <v>9</v>
      </c>
      <c r="B22" s="27" t="s">
        <v>26</v>
      </c>
      <c r="C22" s="7" t="s">
        <v>88</v>
      </c>
      <c r="D22" s="8">
        <f>227384/1000000</f>
        <v>0.227384</v>
      </c>
      <c r="E22" s="8">
        <f>228106/1000000</f>
        <v>0.228106</v>
      </c>
      <c r="F22" s="9">
        <v>0.90636671790000001</v>
      </c>
      <c r="G22" s="9">
        <v>4.3795654687000001</v>
      </c>
      <c r="H22" s="9">
        <v>4.0821289273000003</v>
      </c>
      <c r="I22" s="9">
        <f t="shared" si="0"/>
        <v>3.1226870379666671</v>
      </c>
      <c r="J22" s="10" t="str">
        <f t="shared" si="1"/>
        <v>√</v>
      </c>
      <c r="K22" s="10" t="s">
        <v>59</v>
      </c>
      <c r="L22" s="11" t="s">
        <v>90</v>
      </c>
      <c r="M22" s="11" t="s">
        <v>68</v>
      </c>
      <c r="O22" s="12"/>
      <c r="P22" s="12"/>
    </row>
    <row r="23" spans="1:16" ht="14">
      <c r="A23" s="6" t="s">
        <v>10</v>
      </c>
      <c r="B23" s="26" t="s">
        <v>46</v>
      </c>
      <c r="C23" s="7" t="s">
        <v>91</v>
      </c>
      <c r="D23" s="8">
        <f>2065587/1000000</f>
        <v>2.0655869999999998</v>
      </c>
      <c r="E23" s="8">
        <f>2067859/1000000</f>
        <v>2.0678589999999999</v>
      </c>
      <c r="F23" s="9">
        <v>2.7879215278</v>
      </c>
      <c r="G23" s="9">
        <v>4.6213842022999998</v>
      </c>
      <c r="H23" s="9">
        <v>5.9552960563999999</v>
      </c>
      <c r="I23" s="9">
        <f t="shared" si="0"/>
        <v>4.4548672621666663</v>
      </c>
      <c r="J23" s="10" t="str">
        <f t="shared" si="1"/>
        <v>√</v>
      </c>
      <c r="K23" s="10" t="s">
        <v>59</v>
      </c>
      <c r="L23" s="11" t="s">
        <v>65</v>
      </c>
      <c r="M23" s="11" t="s">
        <v>68</v>
      </c>
      <c r="O23" s="12"/>
      <c r="P23" s="12"/>
    </row>
    <row r="24" spans="1:16" ht="14">
      <c r="A24" s="6" t="s">
        <v>10</v>
      </c>
      <c r="B24" s="26" t="s">
        <v>47</v>
      </c>
      <c r="C24" s="7" t="s">
        <v>91</v>
      </c>
      <c r="D24" s="8">
        <f>2074780/1000000</f>
        <v>2.0747800000000001</v>
      </c>
      <c r="E24" s="8">
        <f>2076613/1000000</f>
        <v>2.076613</v>
      </c>
      <c r="F24" s="9">
        <v>0.77317464479999998</v>
      </c>
      <c r="G24" s="9">
        <v>2.4820059972999999</v>
      </c>
      <c r="H24" s="9">
        <v>3.2114114671</v>
      </c>
      <c r="I24" s="9">
        <f t="shared" si="0"/>
        <v>2.1555307030666668</v>
      </c>
      <c r="J24" s="10" t="str">
        <f t="shared" si="1"/>
        <v>√</v>
      </c>
      <c r="K24" s="10" t="s">
        <v>59</v>
      </c>
      <c r="L24" s="11" t="s">
        <v>65</v>
      </c>
      <c r="M24" s="11" t="s">
        <v>68</v>
      </c>
      <c r="O24" s="12"/>
      <c r="P24" s="12"/>
    </row>
    <row r="25" spans="1:16" ht="14">
      <c r="A25" s="6" t="s">
        <v>11</v>
      </c>
      <c r="B25" s="27" t="s">
        <v>27</v>
      </c>
      <c r="C25" s="7" t="s">
        <v>92</v>
      </c>
      <c r="D25" s="8">
        <f>107472/1000000</f>
        <v>0.107472</v>
      </c>
      <c r="E25" s="8">
        <f>107977/1000000</f>
        <v>0.107977</v>
      </c>
      <c r="F25" s="9">
        <v>155.34749283459999</v>
      </c>
      <c r="G25" s="9">
        <v>433.9979667266</v>
      </c>
      <c r="H25" s="9">
        <v>503.07408050279997</v>
      </c>
      <c r="I25" s="9">
        <f t="shared" si="0"/>
        <v>364.13984668799998</v>
      </c>
      <c r="J25" s="10" t="str">
        <f t="shared" si="1"/>
        <v>√</v>
      </c>
      <c r="K25" s="10"/>
      <c r="L25" s="11" t="s">
        <v>93</v>
      </c>
      <c r="M25" s="11" t="s">
        <v>68</v>
      </c>
      <c r="O25" s="12"/>
      <c r="P25" s="12"/>
    </row>
    <row r="26" spans="1:16" ht="14">
      <c r="A26" s="6" t="s">
        <v>119</v>
      </c>
      <c r="B26" s="27" t="s">
        <v>28</v>
      </c>
      <c r="C26" s="6" t="s">
        <v>94</v>
      </c>
      <c r="D26" s="8">
        <f>365205/1000000</f>
        <v>0.365205</v>
      </c>
      <c r="E26" s="8">
        <f>367047/1000000</f>
        <v>0.36704700000000001</v>
      </c>
      <c r="F26" s="9">
        <v>0.1483510941</v>
      </c>
      <c r="G26" s="9">
        <v>0.5376245476</v>
      </c>
      <c r="H26" s="9">
        <v>0.32452966239999997</v>
      </c>
      <c r="I26" s="9">
        <f t="shared" si="0"/>
        <v>0.33683510136666667</v>
      </c>
      <c r="J26" s="10" t="str">
        <f t="shared" si="1"/>
        <v/>
      </c>
      <c r="K26" s="10"/>
      <c r="L26" s="11" t="s">
        <v>95</v>
      </c>
      <c r="M26" s="11" t="s">
        <v>68</v>
      </c>
      <c r="O26" s="12"/>
      <c r="P26" s="12"/>
    </row>
    <row r="27" spans="1:16" ht="14">
      <c r="A27" s="6" t="s">
        <v>120</v>
      </c>
      <c r="B27" s="27" t="s">
        <v>29</v>
      </c>
      <c r="C27" s="7" t="s">
        <v>96</v>
      </c>
      <c r="D27" s="8">
        <f>179384/1000000</f>
        <v>0.17938399999999999</v>
      </c>
      <c r="E27" s="8">
        <f>179876/1000000</f>
        <v>0.17987600000000001</v>
      </c>
      <c r="F27" s="9">
        <v>100.1692073976</v>
      </c>
      <c r="G27" s="9">
        <v>125.1575920921</v>
      </c>
      <c r="H27" s="9">
        <v>116.9200080106</v>
      </c>
      <c r="I27" s="9">
        <f t="shared" si="0"/>
        <v>114.08226916676666</v>
      </c>
      <c r="J27" s="10" t="str">
        <f t="shared" si="1"/>
        <v>√</v>
      </c>
      <c r="K27" s="10" t="s">
        <v>59</v>
      </c>
      <c r="L27" s="11" t="s">
        <v>97</v>
      </c>
      <c r="M27" s="11" t="s">
        <v>68</v>
      </c>
      <c r="O27" s="12"/>
      <c r="P27" s="12"/>
    </row>
    <row r="28" spans="1:16" ht="14">
      <c r="A28" s="6" t="s">
        <v>120</v>
      </c>
      <c r="B28" s="27" t="s">
        <v>30</v>
      </c>
      <c r="C28" s="7" t="s">
        <v>96</v>
      </c>
      <c r="D28" s="8">
        <f>181724/1000000</f>
        <v>0.181724</v>
      </c>
      <c r="E28" s="8">
        <f>182128/1000000</f>
        <v>0.18212800000000001</v>
      </c>
      <c r="F28" s="9">
        <v>0</v>
      </c>
      <c r="G28" s="9">
        <v>0.1566592336</v>
      </c>
      <c r="H28" s="9">
        <v>1.3517259698999999</v>
      </c>
      <c r="I28" s="9">
        <f t="shared" si="0"/>
        <v>0.50279506783333339</v>
      </c>
      <c r="J28" s="10" t="str">
        <f t="shared" si="1"/>
        <v/>
      </c>
      <c r="K28" s="10"/>
      <c r="L28" s="11" t="s">
        <v>98</v>
      </c>
      <c r="M28" s="11" t="s">
        <v>68</v>
      </c>
      <c r="O28" s="12"/>
      <c r="P28" s="12"/>
    </row>
    <row r="29" spans="1:16" ht="14">
      <c r="A29" s="6" t="s">
        <v>120</v>
      </c>
      <c r="B29" s="27" t="s">
        <v>31</v>
      </c>
      <c r="C29" s="7" t="s">
        <v>96</v>
      </c>
      <c r="D29" s="8">
        <f>185558/1000000</f>
        <v>0.185558</v>
      </c>
      <c r="E29" s="8">
        <f>186648/1000000</f>
        <v>0.18664800000000001</v>
      </c>
      <c r="F29" s="9">
        <v>6.9558297699999994E-2</v>
      </c>
      <c r="G29" s="9">
        <v>0.58818516480000005</v>
      </c>
      <c r="H29" s="9">
        <v>2.0049875769000001</v>
      </c>
      <c r="I29" s="9">
        <f t="shared" si="0"/>
        <v>0.88757701313333337</v>
      </c>
      <c r="J29" s="10" t="str">
        <f t="shared" si="1"/>
        <v>√</v>
      </c>
      <c r="K29" s="10"/>
      <c r="L29" s="11" t="s">
        <v>99</v>
      </c>
      <c r="M29" s="11" t="s">
        <v>68</v>
      </c>
      <c r="O29" s="12"/>
      <c r="P29" s="12"/>
    </row>
    <row r="30" spans="1:16" ht="14">
      <c r="A30" s="6" t="s">
        <v>120</v>
      </c>
      <c r="B30" s="27" t="s">
        <v>32</v>
      </c>
      <c r="C30" s="7" t="s">
        <v>96</v>
      </c>
      <c r="D30" s="8">
        <f>187387/1000000</f>
        <v>0.187387</v>
      </c>
      <c r="E30" s="8">
        <f>187871/1000000</f>
        <v>0.18787100000000001</v>
      </c>
      <c r="F30" s="9">
        <v>0.44128476929999999</v>
      </c>
      <c r="G30" s="9">
        <v>0.82922339489999997</v>
      </c>
      <c r="H30" s="9">
        <v>0.52999337140000002</v>
      </c>
      <c r="I30" s="9">
        <f t="shared" si="0"/>
        <v>0.60016717853333335</v>
      </c>
      <c r="J30" s="10" t="str">
        <f t="shared" si="1"/>
        <v/>
      </c>
      <c r="K30" s="10"/>
      <c r="L30" s="11" t="s">
        <v>100</v>
      </c>
      <c r="M30" s="11" t="s">
        <v>68</v>
      </c>
      <c r="O30" s="12"/>
      <c r="P30" s="12"/>
    </row>
    <row r="31" spans="1:16" ht="14">
      <c r="A31" s="13" t="s">
        <v>121</v>
      </c>
      <c r="B31" s="28" t="s">
        <v>33</v>
      </c>
      <c r="C31" s="14" t="s">
        <v>101</v>
      </c>
      <c r="D31" s="15">
        <f>240813/1000000</f>
        <v>0.240813</v>
      </c>
      <c r="E31" s="15">
        <f>242260/1000000</f>
        <v>0.24226</v>
      </c>
      <c r="F31" s="16">
        <v>0.94810063619999996</v>
      </c>
      <c r="G31" s="16">
        <v>1.4952605559000001</v>
      </c>
      <c r="H31" s="16">
        <v>2.4400524213999999</v>
      </c>
      <c r="I31" s="16">
        <f t="shared" si="0"/>
        <v>1.6278045378333335</v>
      </c>
      <c r="J31" s="17" t="str">
        <f t="shared" si="1"/>
        <v>√</v>
      </c>
      <c r="K31" s="17"/>
      <c r="L31" s="18" t="s">
        <v>102</v>
      </c>
      <c r="M31" s="18" t="s">
        <v>66</v>
      </c>
      <c r="O31" s="12"/>
      <c r="P31" s="12"/>
    </row>
    <row r="32" spans="1:16" ht="14">
      <c r="A32" s="6" t="s">
        <v>122</v>
      </c>
      <c r="B32" s="26" t="s">
        <v>48</v>
      </c>
      <c r="C32" s="6" t="s">
        <v>103</v>
      </c>
      <c r="D32" s="8">
        <f>52346/1000000</f>
        <v>5.2345999999999997E-2</v>
      </c>
      <c r="E32" s="8">
        <f>62957/1000000</f>
        <v>6.2956999999999999E-2</v>
      </c>
      <c r="F32" s="9">
        <v>4.0422944199999998E-2</v>
      </c>
      <c r="G32" s="9">
        <v>6.2148460400000001E-2</v>
      </c>
      <c r="H32" s="9">
        <v>0.1456467159</v>
      </c>
      <c r="I32" s="9">
        <f t="shared" si="0"/>
        <v>8.2739373500000005E-2</v>
      </c>
      <c r="J32" s="10" t="str">
        <f t="shared" si="1"/>
        <v/>
      </c>
      <c r="K32" s="10" t="s">
        <v>59</v>
      </c>
      <c r="L32" s="11" t="s">
        <v>65</v>
      </c>
      <c r="M32" s="11" t="s">
        <v>66</v>
      </c>
      <c r="O32" s="12"/>
      <c r="P32" s="12"/>
    </row>
    <row r="33" spans="1:16" ht="14">
      <c r="A33" s="6" t="s">
        <v>123</v>
      </c>
      <c r="B33" s="26" t="s">
        <v>49</v>
      </c>
      <c r="C33" s="6" t="s">
        <v>104</v>
      </c>
      <c r="D33" s="8">
        <f>386825/1000000</f>
        <v>0.38682499999999997</v>
      </c>
      <c r="E33" s="8">
        <f>387413/1000000</f>
        <v>0.38741300000000001</v>
      </c>
      <c r="F33" s="9">
        <v>0.12825919429999999</v>
      </c>
      <c r="G33" s="9">
        <v>0</v>
      </c>
      <c r="H33" s="9">
        <v>0.11553172840000001</v>
      </c>
      <c r="I33" s="9">
        <f t="shared" si="0"/>
        <v>8.1263640900000003E-2</v>
      </c>
      <c r="J33" s="10" t="str">
        <f t="shared" si="1"/>
        <v/>
      </c>
      <c r="K33" s="10"/>
      <c r="L33" s="11" t="s">
        <v>65</v>
      </c>
      <c r="M33" s="11" t="s">
        <v>68</v>
      </c>
      <c r="O33" s="12"/>
      <c r="P33" s="12"/>
    </row>
    <row r="34" spans="1:16" ht="14">
      <c r="A34" s="6" t="s">
        <v>123</v>
      </c>
      <c r="B34" s="26" t="s">
        <v>50</v>
      </c>
      <c r="C34" s="6" t="s">
        <v>104</v>
      </c>
      <c r="D34" s="8">
        <f>391440/1000000</f>
        <v>0.39144000000000001</v>
      </c>
      <c r="E34" s="8">
        <f>391817/1000000</f>
        <v>0.39181700000000003</v>
      </c>
      <c r="F34" s="9">
        <v>0</v>
      </c>
      <c r="G34" s="9">
        <v>0</v>
      </c>
      <c r="H34" s="9">
        <v>0.1731975795</v>
      </c>
      <c r="I34" s="9">
        <f t="shared" si="0"/>
        <v>5.7732526499999999E-2</v>
      </c>
      <c r="J34" s="10" t="str">
        <f t="shared" si="1"/>
        <v/>
      </c>
      <c r="K34" s="10"/>
      <c r="L34" s="11" t="s">
        <v>65</v>
      </c>
      <c r="M34" s="11" t="s">
        <v>68</v>
      </c>
      <c r="O34" s="12"/>
      <c r="P34" s="12"/>
    </row>
    <row r="35" spans="1:16" ht="14">
      <c r="A35" s="6" t="s">
        <v>123</v>
      </c>
      <c r="B35" s="26" t="s">
        <v>51</v>
      </c>
      <c r="C35" s="6" t="s">
        <v>104</v>
      </c>
      <c r="D35" s="8">
        <f>392207/1000000</f>
        <v>0.39220699999999997</v>
      </c>
      <c r="E35" s="8">
        <f>394296/1000000</f>
        <v>0.39429599999999998</v>
      </c>
      <c r="F35" s="9">
        <v>3.5133487200000001E-2</v>
      </c>
      <c r="G35" s="9">
        <v>9.9029622999999997E-2</v>
      </c>
      <c r="H35" s="9">
        <v>0.2215297521</v>
      </c>
      <c r="I35" s="9">
        <f t="shared" si="0"/>
        <v>0.11856428743333332</v>
      </c>
      <c r="J35" s="10" t="str">
        <f t="shared" si="1"/>
        <v/>
      </c>
      <c r="K35" s="10"/>
      <c r="L35" s="11" t="s">
        <v>65</v>
      </c>
      <c r="M35" s="11" t="s">
        <v>68</v>
      </c>
      <c r="O35" s="12"/>
      <c r="P35" s="12"/>
    </row>
    <row r="36" spans="1:16" ht="14">
      <c r="A36" s="6" t="s">
        <v>124</v>
      </c>
      <c r="B36" s="27" t="s">
        <v>34</v>
      </c>
      <c r="C36" s="6" t="s">
        <v>105</v>
      </c>
      <c r="D36" s="8">
        <f>338363/1000000</f>
        <v>0.33836300000000002</v>
      </c>
      <c r="E36" s="8">
        <f>338873/1000000</f>
        <v>0.33887299999999998</v>
      </c>
      <c r="F36" s="9">
        <v>0</v>
      </c>
      <c r="G36" s="9">
        <v>0.1499904426</v>
      </c>
      <c r="H36" s="9">
        <v>0.28759659030000001</v>
      </c>
      <c r="I36" s="9">
        <f t="shared" si="0"/>
        <v>0.1458623443</v>
      </c>
      <c r="J36" s="10" t="str">
        <f t="shared" si="1"/>
        <v/>
      </c>
      <c r="K36" s="10"/>
      <c r="L36" s="11" t="s">
        <v>106</v>
      </c>
      <c r="M36" s="11" t="s">
        <v>68</v>
      </c>
      <c r="O36" s="12"/>
      <c r="P36" s="12"/>
    </row>
    <row r="37" spans="1:16" ht="14">
      <c r="A37" s="7" t="s">
        <v>53</v>
      </c>
      <c r="B37" s="26" t="s">
        <v>0</v>
      </c>
      <c r="C37" s="6" t="s">
        <v>107</v>
      </c>
      <c r="D37" s="8">
        <f>147262/1000000</f>
        <v>0.147262</v>
      </c>
      <c r="E37" s="8">
        <f>148796/1000000</f>
        <v>0.14879600000000001</v>
      </c>
      <c r="F37" s="9">
        <v>0</v>
      </c>
      <c r="G37" s="9">
        <v>0.1169302148</v>
      </c>
      <c r="H37" s="9">
        <v>0.39236019560000002</v>
      </c>
      <c r="I37" s="9">
        <f t="shared" si="0"/>
        <v>0.16976347013333334</v>
      </c>
      <c r="J37" s="10" t="str">
        <f t="shared" si="1"/>
        <v/>
      </c>
      <c r="K37" s="10" t="s">
        <v>59</v>
      </c>
      <c r="L37" s="11" t="s">
        <v>65</v>
      </c>
      <c r="M37" s="11" t="s">
        <v>68</v>
      </c>
      <c r="O37" s="12"/>
      <c r="P37" s="12"/>
    </row>
    <row r="38" spans="1:16" ht="14">
      <c r="A38" s="6" t="s">
        <v>54</v>
      </c>
      <c r="B38" s="27" t="s">
        <v>35</v>
      </c>
      <c r="C38" s="7" t="s">
        <v>108</v>
      </c>
      <c r="D38" s="8">
        <f>94974/1000000</f>
        <v>9.4974000000000003E-2</v>
      </c>
      <c r="E38" s="8">
        <f>95393/1000000</f>
        <v>9.5393000000000006E-2</v>
      </c>
      <c r="F38" s="9">
        <v>2.8751158712999998</v>
      </c>
      <c r="G38" s="9">
        <v>11.6157276323</v>
      </c>
      <c r="H38" s="9">
        <v>8.5463771648000009</v>
      </c>
      <c r="I38" s="9">
        <f t="shared" si="0"/>
        <v>7.6790735561333348</v>
      </c>
      <c r="J38" s="10" t="str">
        <f t="shared" si="1"/>
        <v>√</v>
      </c>
      <c r="K38" s="10"/>
      <c r="L38" s="11" t="s">
        <v>109</v>
      </c>
      <c r="M38" s="11" t="s">
        <v>68</v>
      </c>
      <c r="O38" s="12"/>
      <c r="P38" s="12"/>
    </row>
    <row r="39" spans="1:16" ht="14">
      <c r="A39" s="6" t="s">
        <v>54</v>
      </c>
      <c r="B39" s="27" t="s">
        <v>36</v>
      </c>
      <c r="C39" s="7" t="s">
        <v>108</v>
      </c>
      <c r="D39" s="8">
        <f>97162/1000000</f>
        <v>9.7161999999999998E-2</v>
      </c>
      <c r="E39" s="8">
        <f>97576/1000000</f>
        <v>9.7575999999999996E-2</v>
      </c>
      <c r="F39" s="9">
        <v>0.45314681439999999</v>
      </c>
      <c r="G39" s="9">
        <v>2.9802972609</v>
      </c>
      <c r="H39" s="9">
        <v>3.6736197709999998</v>
      </c>
      <c r="I39" s="9">
        <f t="shared" si="0"/>
        <v>2.3690212820999998</v>
      </c>
      <c r="J39" s="10" t="str">
        <f t="shared" si="1"/>
        <v>√</v>
      </c>
      <c r="K39" s="10"/>
      <c r="L39" s="11" t="s">
        <v>110</v>
      </c>
      <c r="M39" s="11" t="s">
        <v>68</v>
      </c>
      <c r="O39" s="12"/>
      <c r="P39" s="12"/>
    </row>
    <row r="40" spans="1:16" ht="14">
      <c r="A40" s="6" t="s">
        <v>54</v>
      </c>
      <c r="B40" s="26" t="s">
        <v>52</v>
      </c>
      <c r="C40" s="7" t="s">
        <v>111</v>
      </c>
      <c r="D40" s="8">
        <f>102311/1000000</f>
        <v>0.102311</v>
      </c>
      <c r="E40" s="8">
        <f>102874/1000000</f>
        <v>0.10287399999999999</v>
      </c>
      <c r="F40" s="9">
        <v>1.2831056179</v>
      </c>
      <c r="G40" s="9">
        <v>7.2332965272000003</v>
      </c>
      <c r="H40" s="9">
        <v>9.2462398825999994</v>
      </c>
      <c r="I40" s="9">
        <f t="shared" si="0"/>
        <v>5.9208806759000003</v>
      </c>
      <c r="J40" s="10" t="str">
        <f t="shared" si="1"/>
        <v>√</v>
      </c>
      <c r="K40" s="10"/>
      <c r="L40" s="11" t="s">
        <v>65</v>
      </c>
      <c r="M40" s="11" t="s">
        <v>68</v>
      </c>
      <c r="O40" s="19"/>
      <c r="P40" s="12"/>
    </row>
    <row r="41" spans="1:16" ht="14">
      <c r="A41" s="13" t="s">
        <v>54</v>
      </c>
      <c r="B41" s="21" t="s">
        <v>2</v>
      </c>
      <c r="C41" s="14" t="s">
        <v>111</v>
      </c>
      <c r="D41" s="15">
        <f>103976/1000000</f>
        <v>0.103976</v>
      </c>
      <c r="E41" s="15">
        <f>104442/1000000</f>
        <v>0.10444199999999999</v>
      </c>
      <c r="F41" s="16">
        <v>0.1596397262</v>
      </c>
      <c r="G41" s="16">
        <v>1.0499330978999999</v>
      </c>
      <c r="H41" s="16">
        <v>0.57519318060000002</v>
      </c>
      <c r="I41" s="16">
        <f t="shared" si="0"/>
        <v>0.59492200156666664</v>
      </c>
      <c r="J41" s="17" t="str">
        <f t="shared" si="1"/>
        <v/>
      </c>
      <c r="K41" s="17"/>
      <c r="L41" s="18" t="s">
        <v>65</v>
      </c>
      <c r="M41" s="18" t="s">
        <v>68</v>
      </c>
      <c r="O41" s="19"/>
      <c r="P41" s="12"/>
    </row>
    <row r="42" spans="1:16" ht="14">
      <c r="A42" s="21" t="s">
        <v>112</v>
      </c>
      <c r="B42" s="29" t="s">
        <v>37</v>
      </c>
      <c r="C42" s="19"/>
      <c r="D42" s="19"/>
      <c r="E42" s="19"/>
      <c r="F42" s="19"/>
      <c r="G42" s="19"/>
      <c r="H42" s="19"/>
      <c r="I42" s="20">
        <v>4118.8519834232302</v>
      </c>
      <c r="J42" s="6" t="s">
        <v>59</v>
      </c>
      <c r="K42" s="19"/>
      <c r="L42" s="32" t="s">
        <v>113</v>
      </c>
      <c r="M42" s="21" t="s">
        <v>112</v>
      </c>
      <c r="O42" s="19"/>
      <c r="P42" s="12"/>
    </row>
    <row r="43" spans="1:16" ht="14">
      <c r="A43" s="21" t="s">
        <v>114</v>
      </c>
      <c r="B43" s="21" t="s">
        <v>38</v>
      </c>
      <c r="C43" s="19"/>
      <c r="D43" s="19"/>
      <c r="E43" s="19"/>
      <c r="F43" s="19"/>
      <c r="G43" s="19"/>
      <c r="H43" s="19"/>
      <c r="I43" s="20">
        <v>2777.4901339042999</v>
      </c>
      <c r="J43" s="6" t="s">
        <v>59</v>
      </c>
      <c r="K43" s="19"/>
      <c r="L43" s="32" t="s">
        <v>115</v>
      </c>
      <c r="M43" s="21" t="s">
        <v>114</v>
      </c>
      <c r="O43" s="19"/>
      <c r="P43" s="12"/>
    </row>
    <row r="44" spans="1:16" ht="14">
      <c r="A44" s="21" t="s">
        <v>116</v>
      </c>
      <c r="B44" s="21" t="s">
        <v>39</v>
      </c>
      <c r="C44" s="19"/>
      <c r="D44" s="19"/>
      <c r="E44" s="19"/>
      <c r="F44" s="19"/>
      <c r="G44" s="19"/>
      <c r="H44" s="19"/>
      <c r="I44" s="20">
        <v>533.53389399629998</v>
      </c>
      <c r="J44" s="6" t="s">
        <v>59</v>
      </c>
      <c r="K44" s="19"/>
      <c r="L44" s="32" t="s">
        <v>117</v>
      </c>
      <c r="M44" s="21" t="s">
        <v>116</v>
      </c>
      <c r="O44" s="12"/>
      <c r="P44" s="12"/>
    </row>
    <row r="45" spans="1:16" ht="14">
      <c r="A45" s="24" t="s">
        <v>118</v>
      </c>
      <c r="B45" s="24" t="s">
        <v>40</v>
      </c>
      <c r="C45" s="22"/>
      <c r="D45" s="22"/>
      <c r="E45" s="22"/>
      <c r="F45" s="22"/>
      <c r="G45" s="22"/>
      <c r="H45" s="22"/>
      <c r="I45" s="23">
        <v>29.177734399233302</v>
      </c>
      <c r="J45" s="13" t="s">
        <v>59</v>
      </c>
      <c r="K45" s="22"/>
      <c r="L45" s="33" t="s">
        <v>137</v>
      </c>
      <c r="M45" s="24" t="s">
        <v>125</v>
      </c>
      <c r="O45" s="12"/>
      <c r="P45" s="12"/>
    </row>
    <row r="46" spans="1:16" ht="14">
      <c r="A46" s="12"/>
      <c r="B46" s="26"/>
      <c r="C46" s="12"/>
      <c r="D46" s="12"/>
      <c r="E46" s="12"/>
      <c r="F46" s="12"/>
      <c r="G46" s="12"/>
      <c r="H46" s="12"/>
      <c r="I46" s="25"/>
      <c r="J46" s="12"/>
      <c r="K46" s="12"/>
      <c r="L46" s="26"/>
      <c r="M46" s="26"/>
    </row>
    <row r="47" spans="1:16" ht="14">
      <c r="A47" s="12"/>
      <c r="B47" s="26"/>
      <c r="C47" s="12"/>
      <c r="D47" s="12"/>
      <c r="E47" s="12"/>
      <c r="F47" s="12"/>
      <c r="G47" s="12"/>
      <c r="H47" s="12"/>
      <c r="I47" s="25"/>
      <c r="J47" s="25"/>
      <c r="K47" s="12"/>
      <c r="L47" s="26"/>
      <c r="M47" s="26"/>
    </row>
  </sheetData>
  <mergeCells count="1">
    <mergeCell ref="A1:M1"/>
  </mergeCells>
  <phoneticPr fontId="3" type="noConversion"/>
  <pageMargins left="0.75000000000000011" right="0.75000000000000011" top="1" bottom="1" header="0.51" footer="0.51"/>
  <pageSetup scale="6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5673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Klaas Schotanus</cp:lastModifiedBy>
  <cp:revision>7</cp:revision>
  <cp:lastPrinted>2015-08-29T16:04:18Z</cp:lastPrinted>
  <dcterms:created xsi:type="dcterms:W3CDTF">2015-03-20T16:40:15Z</dcterms:created>
  <dcterms:modified xsi:type="dcterms:W3CDTF">2015-08-29T16:04:25Z</dcterms:modified>
  <dc:language>en-US</dc:language>
</cp:coreProperties>
</file>