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31"/>
  <workbookPr/>
  <mc:AlternateContent xmlns:mc="http://schemas.openxmlformats.org/markup-compatibility/2006">
    <mc:Choice Requires="x15">
      <x15ac:absPath xmlns:x15ac="http://schemas.microsoft.com/office/spreadsheetml/2010/11/ac" url="/Users/tianshuchu/Papers/202606新开行南平项目文章转化/HER/R1/"/>
    </mc:Choice>
  </mc:AlternateContent>
  <xr:revisionPtr revIDLastSave="0" documentId="13_ncr:1_{C7D22F2A-6AEA-AB46-BB6F-FC5B7F1CDBE2}" xr6:coauthVersionLast="47" xr6:coauthVersionMax="47" xr10:uidLastSave="{00000000-0000-0000-0000-000000000000}"/>
  <bookViews>
    <workbookView xWindow="0" yWindow="660" windowWidth="29400" windowHeight="18460" activeTab="4" xr2:uid="{00000000-000D-0000-FFFF-FFFF00000000}"/>
  </bookViews>
  <sheets>
    <sheet name="1-Indicator Characteristics" sheetId="13" r:id="rId1"/>
    <sheet name="2-DALYs &amp; Historical Data" sheetId="2" r:id="rId2"/>
    <sheet name="3-Grey model" sheetId="6" r:id="rId3"/>
    <sheet name="4-Counterfactual Dataset（Ln）" sheetId="7" r:id="rId4"/>
    <sheet name="5-Coefficient" sheetId="8" r:id="rId5"/>
    <sheet name="6-Distance Issue" sheetId="3" r:id="rId6"/>
    <sheet name="7-Simulation Setting" sheetId="5" r:id="rId7"/>
    <sheet name="8-Result" sheetId="1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12" l="1"/>
  <c r="C32" i="12"/>
  <c r="D32" i="12"/>
  <c r="E32" i="12"/>
  <c r="F32" i="12"/>
  <c r="K32" i="12"/>
  <c r="B33" i="12"/>
  <c r="C33" i="12"/>
  <c r="D33" i="12"/>
  <c r="E33" i="12"/>
  <c r="F33" i="12"/>
  <c r="K33" i="12"/>
  <c r="J5" i="12"/>
  <c r="K5" i="12" s="1"/>
  <c r="J3" i="12"/>
  <c r="K3" i="12" s="1"/>
  <c r="J4" i="12"/>
  <c r="K4" i="12"/>
  <c r="J6" i="12"/>
  <c r="K6" i="12" s="1"/>
  <c r="J7" i="12"/>
  <c r="K7" i="12" s="1"/>
  <c r="J8" i="12"/>
  <c r="K8" i="12" s="1"/>
  <c r="J9" i="12"/>
  <c r="K9" i="12" s="1"/>
  <c r="J10" i="12"/>
  <c r="K10" i="12" s="1"/>
  <c r="J11" i="12"/>
  <c r="K11" i="12" s="1"/>
  <c r="J12" i="12"/>
  <c r="K12" i="12" s="1"/>
  <c r="J13" i="12"/>
  <c r="K13" i="12" s="1"/>
  <c r="I16" i="12"/>
  <c r="B20" i="5"/>
  <c r="M19" i="5" l="1"/>
  <c r="N19" i="5" s="1"/>
  <c r="H21" i="12" s="1"/>
  <c r="J19" i="5"/>
  <c r="K19" i="5" s="1"/>
  <c r="G21" i="12" s="1"/>
  <c r="D19" i="5"/>
  <c r="E19" i="5" s="1"/>
  <c r="P19" i="5" l="1"/>
  <c r="Q19" i="5" s="1"/>
  <c r="G19" i="5"/>
  <c r="S19" i="5" s="1"/>
  <c r="T19" i="5" s="1"/>
  <c r="I21" i="12" s="1"/>
  <c r="J21" i="12" l="1"/>
  <c r="L21" i="12"/>
  <c r="O21" i="12" l="1"/>
  <c r="T21" i="12" s="1"/>
  <c r="X21" i="12" s="1"/>
  <c r="R21" i="12"/>
  <c r="W21" i="12" s="1"/>
  <c r="AA21" i="12" s="1"/>
  <c r="Q21" i="12"/>
  <c r="V21" i="12" s="1"/>
  <c r="Z21" i="12" s="1"/>
  <c r="P21" i="12"/>
  <c r="U21" i="12" s="1"/>
  <c r="Y21" i="12" s="1"/>
  <c r="M21" i="12"/>
  <c r="D20" i="5"/>
  <c r="C20" i="5"/>
  <c r="D21" i="5" l="1"/>
  <c r="P20" i="5"/>
  <c r="Q20" i="5" s="1"/>
  <c r="M20" i="5"/>
  <c r="N20" i="5" s="1"/>
  <c r="H22" i="12" s="1"/>
  <c r="E20" i="5"/>
  <c r="G20" i="5" s="1"/>
  <c r="S20" i="5" s="1"/>
  <c r="B21" i="5"/>
  <c r="J20" i="5"/>
  <c r="K20" i="5" s="1"/>
  <c r="G22" i="12" s="1"/>
  <c r="C21" i="5"/>
  <c r="D22" i="5" l="1"/>
  <c r="D23" i="5" s="1"/>
  <c r="P21" i="5"/>
  <c r="Q21" i="5" s="1"/>
  <c r="E21" i="5"/>
  <c r="G21" i="5" s="1"/>
  <c r="S21" i="5" s="1"/>
  <c r="M21" i="5"/>
  <c r="N21" i="5" s="1"/>
  <c r="H23" i="12" s="1"/>
  <c r="B22" i="5"/>
  <c r="J21" i="5"/>
  <c r="K21" i="5" s="1"/>
  <c r="G23" i="12" s="1"/>
  <c r="C22" i="5"/>
  <c r="T20" i="5"/>
  <c r="I22" i="12" s="1"/>
  <c r="J22" i="12" l="1"/>
  <c r="P22" i="5"/>
  <c r="Q22" i="5" s="1"/>
  <c r="E22" i="5"/>
  <c r="G22" i="5" s="1"/>
  <c r="S22" i="5" s="1"/>
  <c r="M22" i="5"/>
  <c r="N22" i="5" s="1"/>
  <c r="H24" i="12" s="1"/>
  <c r="B23" i="5"/>
  <c r="J22" i="5"/>
  <c r="K22" i="5" s="1"/>
  <c r="G24" i="12" s="1"/>
  <c r="C23" i="5"/>
  <c r="L22" i="12" l="1"/>
  <c r="D24" i="5"/>
  <c r="P23" i="5"/>
  <c r="Q23" i="5" s="1"/>
  <c r="E23" i="5"/>
  <c r="G23" i="5" s="1"/>
  <c r="S23" i="5" s="1"/>
  <c r="M23" i="5"/>
  <c r="N23" i="5" s="1"/>
  <c r="H25" i="12" s="1"/>
  <c r="B24" i="5"/>
  <c r="J23" i="5"/>
  <c r="K23" i="5" s="1"/>
  <c r="G25" i="12" s="1"/>
  <c r="C24" i="5"/>
  <c r="O22" i="12" l="1"/>
  <c r="T22" i="12" s="1"/>
  <c r="P22" i="12"/>
  <c r="U22" i="12" s="1"/>
  <c r="Y22" i="12" s="1"/>
  <c r="R22" i="12"/>
  <c r="W22" i="12" s="1"/>
  <c r="AA22" i="12" s="1"/>
  <c r="Q22" i="12"/>
  <c r="V22" i="12" s="1"/>
  <c r="Z22" i="12" s="1"/>
  <c r="M22" i="12"/>
  <c r="X22" i="12"/>
  <c r="D25" i="5"/>
  <c r="P24" i="5"/>
  <c r="Q24" i="5" s="1"/>
  <c r="E24" i="5"/>
  <c r="G24" i="5" s="1"/>
  <c r="S24" i="5" s="1"/>
  <c r="M24" i="5"/>
  <c r="N24" i="5" s="1"/>
  <c r="H26" i="12" s="1"/>
  <c r="B25" i="5"/>
  <c r="J24" i="5"/>
  <c r="K24" i="5" s="1"/>
  <c r="G26" i="12" s="1"/>
  <c r="C25" i="5"/>
  <c r="D26" i="5" l="1"/>
  <c r="P25" i="5"/>
  <c r="Q25" i="5" s="1"/>
  <c r="E25" i="5"/>
  <c r="G25" i="5" s="1"/>
  <c r="S25" i="5" s="1"/>
  <c r="M25" i="5"/>
  <c r="N25" i="5" s="1"/>
  <c r="H27" i="12" s="1"/>
  <c r="B26" i="5"/>
  <c r="J25" i="5"/>
  <c r="K25" i="5" s="1"/>
  <c r="G27" i="12" s="1"/>
  <c r="C26" i="5"/>
  <c r="D27" i="5" l="1"/>
  <c r="P26" i="5"/>
  <c r="Q26" i="5" s="1"/>
  <c r="E26" i="5"/>
  <c r="G26" i="5" s="1"/>
  <c r="S26" i="5" s="1"/>
  <c r="M26" i="5"/>
  <c r="N26" i="5" s="1"/>
  <c r="H28" i="12" s="1"/>
  <c r="B27" i="5"/>
  <c r="J26" i="5"/>
  <c r="K26" i="5" s="1"/>
  <c r="G28" i="12" s="1"/>
  <c r="C27" i="5"/>
  <c r="D28" i="5" l="1"/>
  <c r="D29" i="5" s="1"/>
  <c r="P27" i="5"/>
  <c r="Q27" i="5" s="1"/>
  <c r="E27" i="5"/>
  <c r="G27" i="5" s="1"/>
  <c r="S27" i="5" s="1"/>
  <c r="M27" i="5"/>
  <c r="N27" i="5" s="1"/>
  <c r="H29" i="12" s="1"/>
  <c r="B28" i="5"/>
  <c r="J27" i="5"/>
  <c r="K27" i="5" s="1"/>
  <c r="G29" i="12" s="1"/>
  <c r="C28" i="5"/>
  <c r="P28" i="5" l="1"/>
  <c r="Q28" i="5" s="1"/>
  <c r="E28" i="5"/>
  <c r="G28" i="5" s="1"/>
  <c r="S28" i="5" s="1"/>
  <c r="M28" i="5"/>
  <c r="N28" i="5" s="1"/>
  <c r="H30" i="12" s="1"/>
  <c r="B29" i="5"/>
  <c r="J28" i="5"/>
  <c r="K28" i="5" s="1"/>
  <c r="G30" i="12" s="1"/>
  <c r="C29" i="5"/>
  <c r="P29" i="5" l="1"/>
  <c r="Q29" i="5" s="1"/>
  <c r="E29" i="5"/>
  <c r="G29" i="5" s="1"/>
  <c r="S29" i="5" s="1"/>
  <c r="M29" i="5"/>
  <c r="N29" i="5" s="1"/>
  <c r="H31" i="12" s="1"/>
  <c r="J29" i="5"/>
  <c r="K29" i="5" s="1"/>
  <c r="G31" i="12" s="1"/>
  <c r="H32" i="12" l="1"/>
  <c r="H33" i="12"/>
  <c r="G33" i="12"/>
  <c r="G32" i="12"/>
  <c r="T29" i="7"/>
  <c r="S29" i="7"/>
  <c r="R29" i="7"/>
  <c r="Q29" i="7"/>
  <c r="P29" i="7"/>
  <c r="O29" i="7"/>
  <c r="N29" i="7"/>
  <c r="M29" i="7"/>
  <c r="T28" i="7"/>
  <c r="S28" i="7"/>
  <c r="R28" i="7"/>
  <c r="Q28" i="7"/>
  <c r="P28" i="7"/>
  <c r="O28" i="7"/>
  <c r="N28" i="7"/>
  <c r="M28" i="7"/>
  <c r="T27" i="7"/>
  <c r="S27" i="7"/>
  <c r="R27" i="7"/>
  <c r="Q27" i="7"/>
  <c r="P27" i="7"/>
  <c r="O27" i="7"/>
  <c r="N27" i="7"/>
  <c r="M27" i="7"/>
  <c r="T26" i="7"/>
  <c r="S26" i="7"/>
  <c r="R26" i="7"/>
  <c r="Q26" i="7"/>
  <c r="P26" i="7"/>
  <c r="O26" i="7"/>
  <c r="N26" i="7"/>
  <c r="M26" i="7"/>
  <c r="T25" i="7"/>
  <c r="S25" i="7"/>
  <c r="R25" i="7"/>
  <c r="Q25" i="7"/>
  <c r="P25" i="7"/>
  <c r="O25" i="7"/>
  <c r="N25" i="7"/>
  <c r="M25" i="7"/>
  <c r="T24" i="7"/>
  <c r="S24" i="7"/>
  <c r="R24" i="7"/>
  <c r="Q24" i="7"/>
  <c r="P24" i="7"/>
  <c r="O24" i="7"/>
  <c r="N24" i="7"/>
  <c r="M24" i="7"/>
  <c r="T23" i="7"/>
  <c r="S23" i="7"/>
  <c r="R23" i="7"/>
  <c r="Q23" i="7"/>
  <c r="P23" i="7"/>
  <c r="O23" i="7"/>
  <c r="N23" i="7"/>
  <c r="M23" i="7"/>
  <c r="T22" i="7"/>
  <c r="S22" i="7"/>
  <c r="R22" i="7"/>
  <c r="Q22" i="7"/>
  <c r="P22" i="7"/>
  <c r="O22" i="7"/>
  <c r="N22" i="7"/>
  <c r="M22" i="7"/>
  <c r="T21" i="7"/>
  <c r="S21" i="7"/>
  <c r="R21" i="7"/>
  <c r="Q21" i="7"/>
  <c r="P21" i="7"/>
  <c r="O21" i="7"/>
  <c r="N21" i="7"/>
  <c r="M21" i="7"/>
  <c r="T20" i="7"/>
  <c r="S20" i="7"/>
  <c r="R20" i="7"/>
  <c r="Q20" i="7"/>
  <c r="P20" i="7"/>
  <c r="O20" i="7"/>
  <c r="N20" i="7"/>
  <c r="M20" i="7"/>
  <c r="T19" i="7"/>
  <c r="S19" i="7"/>
  <c r="R19" i="7"/>
  <c r="Q19" i="7"/>
  <c r="P19" i="7"/>
  <c r="O19" i="7"/>
  <c r="N19" i="7"/>
  <c r="M19" i="7"/>
  <c r="T18" i="7"/>
  <c r="S18" i="7"/>
  <c r="R18" i="7"/>
  <c r="Q18" i="7"/>
  <c r="P18" i="7"/>
  <c r="O18" i="7"/>
  <c r="N18" i="7"/>
  <c r="M18" i="7"/>
  <c r="T17" i="7"/>
  <c r="S17" i="7"/>
  <c r="R17" i="7"/>
  <c r="Q17" i="7"/>
  <c r="P17" i="7"/>
  <c r="O17" i="7"/>
  <c r="N17" i="7"/>
  <c r="M17" i="7"/>
  <c r="L17" i="7"/>
  <c r="L18" i="7"/>
  <c r="L19" i="7"/>
  <c r="L20" i="7"/>
  <c r="L21" i="7"/>
  <c r="L22" i="7"/>
  <c r="L23" i="7"/>
  <c r="L24" i="7"/>
  <c r="L25" i="7"/>
  <c r="L26" i="7"/>
  <c r="L27" i="7"/>
  <c r="L28" i="7"/>
  <c r="L29" i="7"/>
  <c r="M14" i="7" l="1"/>
  <c r="N14" i="7"/>
  <c r="O14" i="7"/>
  <c r="P14" i="7"/>
  <c r="Q14" i="7"/>
  <c r="R14" i="7"/>
  <c r="S14" i="7"/>
  <c r="T14" i="7"/>
  <c r="M15" i="7"/>
  <c r="N15" i="7"/>
  <c r="O15" i="7"/>
  <c r="P15" i="7"/>
  <c r="Q15" i="7"/>
  <c r="R15" i="7"/>
  <c r="S15" i="7"/>
  <c r="T15" i="7"/>
  <c r="M16" i="7"/>
  <c r="N16" i="7"/>
  <c r="O16" i="7"/>
  <c r="P16" i="7"/>
  <c r="Q16" i="7"/>
  <c r="R16" i="7"/>
  <c r="S16" i="7"/>
  <c r="T16" i="7"/>
  <c r="L14" i="7"/>
  <c r="L15" i="7"/>
  <c r="L16" i="7"/>
  <c r="K34" i="6" l="1"/>
  <c r="J34" i="6"/>
  <c r="F15" i="3" l="1"/>
  <c r="T21" i="5" l="1"/>
  <c r="I23" i="12" s="1"/>
  <c r="J23" i="12" l="1"/>
  <c r="T22" i="5"/>
  <c r="I24" i="12" s="1"/>
  <c r="J24" i="12" s="1"/>
  <c r="L24" i="12" s="1"/>
  <c r="L23" i="12" l="1"/>
  <c r="O24" i="12"/>
  <c r="T24" i="12" s="1"/>
  <c r="X24" i="12" s="1"/>
  <c r="M24" i="12"/>
  <c r="Q24" i="12"/>
  <c r="V24" i="12" s="1"/>
  <c r="Z24" i="12" s="1"/>
  <c r="P24" i="12"/>
  <c r="R24" i="12"/>
  <c r="W24" i="12" s="1"/>
  <c r="AA24" i="12" s="1"/>
  <c r="T23" i="5"/>
  <c r="I25" i="12" s="1"/>
  <c r="J25" i="12" s="1"/>
  <c r="L25" i="12" s="1"/>
  <c r="Q23" i="12" l="1"/>
  <c r="V23" i="12" s="1"/>
  <c r="R23" i="12"/>
  <c r="W23" i="12" s="1"/>
  <c r="AA23" i="12" s="1"/>
  <c r="P23" i="12"/>
  <c r="U23" i="12" s="1"/>
  <c r="Y23" i="12" s="1"/>
  <c r="M23" i="12"/>
  <c r="O23" i="12"/>
  <c r="T23" i="12" s="1"/>
  <c r="X23" i="12" s="1"/>
  <c r="P25" i="12"/>
  <c r="U25" i="12" s="1"/>
  <c r="Y25" i="12" s="1"/>
  <c r="M25" i="12"/>
  <c r="Q25" i="12"/>
  <c r="R25" i="12"/>
  <c r="W25" i="12" s="1"/>
  <c r="AA25" i="12" s="1"/>
  <c r="O25" i="12"/>
  <c r="Z23" i="12"/>
  <c r="U24" i="12"/>
  <c r="Y24" i="12" s="1"/>
  <c r="T24" i="5"/>
  <c r="I26" i="12" s="1"/>
  <c r="J26" i="12" l="1"/>
  <c r="T25" i="12"/>
  <c r="V25" i="12"/>
  <c r="T25" i="5"/>
  <c r="I27" i="12" s="1"/>
  <c r="J27" i="12" s="1"/>
  <c r="L27" i="12" s="1"/>
  <c r="L26" i="12" l="1"/>
  <c r="Z25" i="12"/>
  <c r="O27" i="12"/>
  <c r="T27" i="12" s="1"/>
  <c r="X27" i="12" s="1"/>
  <c r="M27" i="12"/>
  <c r="Q27" i="12"/>
  <c r="R27" i="12"/>
  <c r="P27" i="12"/>
  <c r="U27" i="12" s="1"/>
  <c r="Y27" i="12" s="1"/>
  <c r="X25" i="12"/>
  <c r="T26" i="5"/>
  <c r="I28" i="12" s="1"/>
  <c r="J28" i="12" s="1"/>
  <c r="L28" i="12" s="1"/>
  <c r="O26" i="12" l="1"/>
  <c r="T26" i="12" s="1"/>
  <c r="X26" i="12" s="1"/>
  <c r="Q26" i="12"/>
  <c r="V26" i="12" s="1"/>
  <c r="Z26" i="12" s="1"/>
  <c r="P26" i="12"/>
  <c r="U26" i="12" s="1"/>
  <c r="R26" i="12"/>
  <c r="W26" i="12" s="1"/>
  <c r="AA26" i="12" s="1"/>
  <c r="M26" i="12"/>
  <c r="Q28" i="12"/>
  <c r="V28" i="12" s="1"/>
  <c r="Z28" i="12" s="1"/>
  <c r="P28" i="12"/>
  <c r="U28" i="12" s="1"/>
  <c r="Y28" i="12" s="1"/>
  <c r="R28" i="12"/>
  <c r="W28" i="12" s="1"/>
  <c r="AA28" i="12" s="1"/>
  <c r="M28" i="12"/>
  <c r="O28" i="12"/>
  <c r="T28" i="12" s="1"/>
  <c r="W27" i="12"/>
  <c r="V27" i="12"/>
  <c r="Y26" i="12"/>
  <c r="T27" i="5"/>
  <c r="I29" i="12" s="1"/>
  <c r="J29" i="12" s="1"/>
  <c r="L29" i="12" s="1"/>
  <c r="X28" i="12" l="1"/>
  <c r="Z27" i="12"/>
  <c r="R29" i="12"/>
  <c r="W29" i="12" s="1"/>
  <c r="AA29" i="12" s="1"/>
  <c r="O29" i="12"/>
  <c r="T29" i="12" s="1"/>
  <c r="X29" i="12" s="1"/>
  <c r="Q29" i="12"/>
  <c r="P29" i="12"/>
  <c r="U29" i="12" s="1"/>
  <c r="M29" i="12"/>
  <c r="AA27" i="12"/>
  <c r="T28" i="5"/>
  <c r="I30" i="12" s="1"/>
  <c r="J30" i="12" s="1"/>
  <c r="L30" i="12" s="1"/>
  <c r="Y29" i="12" l="1"/>
  <c r="P30" i="12"/>
  <c r="U30" i="12" s="1"/>
  <c r="Y30" i="12" s="1"/>
  <c r="O30" i="12"/>
  <c r="T30" i="12" s="1"/>
  <c r="X30" i="12" s="1"/>
  <c r="R30" i="12"/>
  <c r="W30" i="12" s="1"/>
  <c r="M30" i="12"/>
  <c r="Q30" i="12"/>
  <c r="V30" i="12" s="1"/>
  <c r="Z30" i="12" s="1"/>
  <c r="V29" i="12"/>
  <c r="T29" i="5"/>
  <c r="I31" i="12" s="1"/>
  <c r="I32" i="12" l="1"/>
  <c r="I33" i="12"/>
  <c r="J31" i="12"/>
  <c r="Z29" i="12"/>
  <c r="AA30" i="12"/>
  <c r="J32" i="12" l="1"/>
  <c r="J33" i="12"/>
  <c r="L31" i="12"/>
  <c r="L33" i="12" l="1"/>
  <c r="P31" i="12"/>
  <c r="Q31" i="12"/>
  <c r="L32" i="12"/>
  <c r="R31" i="12"/>
  <c r="M31" i="12"/>
  <c r="O31" i="12"/>
  <c r="W31" i="12" l="1"/>
  <c r="R33" i="12"/>
  <c r="R32" i="12"/>
  <c r="Q32" i="12"/>
  <c r="Q33" i="12"/>
  <c r="V31" i="12"/>
  <c r="M32" i="12"/>
  <c r="M33" i="12"/>
  <c r="P33" i="12"/>
  <c r="P32" i="12"/>
  <c r="U31" i="12"/>
  <c r="O33" i="12"/>
  <c r="T31" i="12"/>
  <c r="O32" i="12"/>
  <c r="V32" i="12" l="1"/>
  <c r="V33" i="12"/>
  <c r="Z31" i="12"/>
  <c r="X31" i="12"/>
  <c r="T32" i="12"/>
  <c r="T33" i="12"/>
  <c r="U33" i="12"/>
  <c r="Y31" i="12"/>
  <c r="U32" i="12"/>
  <c r="W32" i="12"/>
  <c r="W33" i="12"/>
  <c r="AA31" i="12"/>
  <c r="Z33" i="12" l="1"/>
  <c r="Z32" i="12"/>
  <c r="Y32" i="12"/>
  <c r="Y33" i="12"/>
  <c r="AA33" i="12"/>
  <c r="AA32" i="12"/>
  <c r="X32" i="12"/>
  <c r="X33" i="12"/>
</calcChain>
</file>

<file path=xl/sharedStrings.xml><?xml version="1.0" encoding="utf-8"?>
<sst xmlns="http://schemas.openxmlformats.org/spreadsheetml/2006/main" count="330" uniqueCount="234">
  <si>
    <t>Year</t>
    <phoneticPr fontId="2" type="noConversion"/>
  </si>
  <si>
    <t>China_DALYs</t>
    <phoneticPr fontId="2" type="noConversion"/>
  </si>
  <si>
    <t>China_population(10,000 people)</t>
    <phoneticPr fontId="2" type="noConversion"/>
  </si>
  <si>
    <t>Government Health Expenditure</t>
    <phoneticPr fontId="2" type="noConversion"/>
  </si>
  <si>
    <t>Health Expenditure per capita</t>
    <phoneticPr fontId="2" type="noConversion"/>
  </si>
  <si>
    <t>Beds</t>
    <phoneticPr fontId="2" type="noConversion"/>
  </si>
  <si>
    <t xml:space="preserve">Certified (Assistant) Doctors </t>
    <phoneticPr fontId="2" type="noConversion"/>
  </si>
  <si>
    <t xml:space="preserve">Nurses </t>
    <phoneticPr fontId="2" type="noConversion"/>
  </si>
  <si>
    <t xml:space="preserve">Number of Inpatients </t>
    <phoneticPr fontId="2" type="noConversion"/>
  </si>
  <si>
    <t>Source: IHME. https://www.healthdata.org/data-tools-practices/interactive-visuals/gbd-results</t>
    <phoneticPr fontId="2" type="noConversion"/>
  </si>
  <si>
    <t>year</t>
    <phoneticPr fontId="2" type="noConversion"/>
  </si>
  <si>
    <t>beds</t>
    <phoneticPr fontId="2" type="noConversion"/>
  </si>
  <si>
    <t>Nurses</t>
    <phoneticPr fontId="2" type="noConversion"/>
  </si>
  <si>
    <t>Beds</t>
  </si>
  <si>
    <t>actual Beds</t>
    <phoneticPr fontId="2" type="noConversion"/>
  </si>
  <si>
    <t>ln_actual Beds</t>
    <phoneticPr fontId="2" type="noConversion"/>
  </si>
  <si>
    <t xml:space="preserve">Note: For the outpatients and emergency cases, we also consider that how much services were added for distance decreased? The relevant article report that the willing distance to pay was 87 km. According to the distance between each district and the hospital, we calculate that there will be a 1/3 increase in services for new hospital. Therefore, we assumed a 1/3 increase in outpatients and emergency cases, before input the changes. </t>
    <phoneticPr fontId="2" type="noConversion"/>
  </si>
  <si>
    <t>GHE</t>
    <phoneticPr fontId="2" type="noConversion"/>
  </si>
  <si>
    <t>NaDALYs</t>
    <phoneticPr fontId="2" type="noConversion"/>
  </si>
  <si>
    <t>Napop</t>
    <phoneticPr fontId="2" type="noConversion"/>
  </si>
  <si>
    <t xml:space="preserve">NoInp </t>
    <phoneticPr fontId="2" type="noConversion"/>
  </si>
  <si>
    <t>NaGDP peca</t>
    <phoneticPr fontId="2" type="noConversion"/>
  </si>
  <si>
    <t>HE peca</t>
    <phoneticPr fontId="2" type="noConversion"/>
  </si>
  <si>
    <t>lnGHE</t>
    <phoneticPr fontId="2" type="noConversion"/>
  </si>
  <si>
    <t>lnHE peca</t>
    <phoneticPr fontId="2" type="noConversion"/>
  </si>
  <si>
    <t>lnBeds</t>
    <phoneticPr fontId="2" type="noConversion"/>
  </si>
  <si>
    <t>F</t>
  </si>
  <si>
    <t>t</t>
  </si>
  <si>
    <t>B</t>
  </si>
  <si>
    <t>lnNapop</t>
  </si>
  <si>
    <t>lnNaGDP peca</t>
  </si>
  <si>
    <t>lnHE peca</t>
  </si>
  <si>
    <t>lnBeds</t>
  </si>
  <si>
    <t xml:space="preserve"> Docs </t>
    <phoneticPr fontId="2" type="noConversion"/>
  </si>
  <si>
    <t xml:space="preserve">actual Docs </t>
    <phoneticPr fontId="2" type="noConversion"/>
  </si>
  <si>
    <t>Docs</t>
    <phoneticPr fontId="2" type="noConversion"/>
  </si>
  <si>
    <t xml:space="preserve">Nurs </t>
    <phoneticPr fontId="2" type="noConversion"/>
  </si>
  <si>
    <t>lnDocs</t>
  </si>
  <si>
    <t>lnDocs</t>
    <phoneticPr fontId="2" type="noConversion"/>
  </si>
  <si>
    <t xml:space="preserve">lnNurs </t>
    <phoneticPr fontId="2" type="noConversion"/>
  </si>
  <si>
    <t xml:space="preserve">ln_actual Docs </t>
    <phoneticPr fontId="2" type="noConversion"/>
  </si>
  <si>
    <t xml:space="preserve">actual Nurs </t>
    <phoneticPr fontId="2" type="noConversion"/>
  </si>
  <si>
    <t xml:space="preserve">ln_actual Nurs </t>
    <phoneticPr fontId="2" type="noConversion"/>
  </si>
  <si>
    <t>2020</t>
  </si>
  <si>
    <t>2021</t>
  </si>
  <si>
    <t>2022</t>
  </si>
  <si>
    <t>2023</t>
  </si>
  <si>
    <t>2024</t>
  </si>
  <si>
    <t>2025</t>
  </si>
  <si>
    <t>2026</t>
  </si>
  <si>
    <t>2027</t>
  </si>
  <si>
    <t>2028</t>
  </si>
  <si>
    <t>2029</t>
  </si>
  <si>
    <t>2030</t>
  </si>
  <si>
    <t>2031</t>
  </si>
  <si>
    <t>2032</t>
  </si>
  <si>
    <t>2033</t>
  </si>
  <si>
    <t>2034</t>
  </si>
  <si>
    <t>2035</t>
  </si>
  <si>
    <t>Year</t>
  </si>
  <si>
    <t>Docs</t>
  </si>
  <si>
    <t>Nurs</t>
  </si>
  <si>
    <t>Economic Benefits  (after project implementation)</t>
    <phoneticPr fontId="2" type="noConversion"/>
  </si>
  <si>
    <t>Discount 3%_Economic Benefits  (after project implementation),CNY</t>
    <phoneticPr fontId="2" type="noConversion"/>
  </si>
  <si>
    <t>DALYs Averted</t>
    <phoneticPr fontId="2" type="noConversion"/>
  </si>
  <si>
    <t>DALYs Averted (%)</t>
    <phoneticPr fontId="2" type="noConversion"/>
  </si>
  <si>
    <t>Discount 3%_Economic Benefits  (after project implementation),USD</t>
    <phoneticPr fontId="2" type="noConversion"/>
  </si>
  <si>
    <t>parameter</t>
    <phoneticPr fontId="2" type="noConversion"/>
  </si>
  <si>
    <t>N_population(10,000 people)</t>
    <phoneticPr fontId="2" type="noConversion"/>
  </si>
  <si>
    <t>N GDP per capita</t>
    <phoneticPr fontId="2" type="noConversion"/>
  </si>
  <si>
    <t>N_DALYs  / N_population = China_DALYs / China_population</t>
    <phoneticPr fontId="2" type="noConversion"/>
  </si>
  <si>
    <t>N_DALYs</t>
    <phoneticPr fontId="2" type="noConversion"/>
  </si>
  <si>
    <t>N_GDP per capita</t>
    <phoneticPr fontId="2" type="noConversion"/>
  </si>
  <si>
    <t>N_GDP peca</t>
    <phoneticPr fontId="2" type="noConversion"/>
  </si>
  <si>
    <t>N_pop</t>
    <phoneticPr fontId="2" type="noConversion"/>
  </si>
  <si>
    <t>lnN_DALYs</t>
    <phoneticPr fontId="2" type="noConversion"/>
  </si>
  <si>
    <t>lnN_pop</t>
    <phoneticPr fontId="2" type="noConversion"/>
  </si>
  <si>
    <t>lnN_GDP peca</t>
    <phoneticPr fontId="2" type="noConversion"/>
  </si>
  <si>
    <t>A</t>
    <phoneticPr fontId="2" type="noConversion"/>
  </si>
  <si>
    <t>B</t>
    <phoneticPr fontId="2" type="noConversion"/>
  </si>
  <si>
    <t>C</t>
    <phoneticPr fontId="2" type="noConversion"/>
  </si>
  <si>
    <t>D</t>
    <phoneticPr fontId="2" type="noConversion"/>
  </si>
  <si>
    <t>E</t>
    <phoneticPr fontId="2" type="noConversion"/>
  </si>
  <si>
    <t>F</t>
    <phoneticPr fontId="2" type="noConversion"/>
  </si>
  <si>
    <t>G</t>
    <phoneticPr fontId="2" type="noConversion"/>
  </si>
  <si>
    <t>H</t>
    <phoneticPr fontId="2" type="noConversion"/>
  </si>
  <si>
    <t>I</t>
    <phoneticPr fontId="2" type="noConversion"/>
  </si>
  <si>
    <t>AVG</t>
    <phoneticPr fontId="2" type="noConversion"/>
  </si>
  <si>
    <t>J</t>
    <phoneticPr fontId="2" type="noConversion"/>
  </si>
  <si>
    <t>a</t>
    <phoneticPr fontId="2" type="noConversion"/>
  </si>
  <si>
    <t>u</t>
    <phoneticPr fontId="2" type="noConversion"/>
  </si>
  <si>
    <t xml:space="preserve">P </t>
    <phoneticPr fontId="2" type="noConversion"/>
  </si>
  <si>
    <t>(Constant)</t>
  </si>
  <si>
    <t>lnNDALYs</t>
  </si>
  <si>
    <t>lnNDALYs</t>
    <phoneticPr fontId="2" type="noConversion"/>
  </si>
  <si>
    <t>NDALYs</t>
  </si>
  <si>
    <t>NDALYs</t>
    <phoneticPr fontId="2" type="noConversion"/>
  </si>
  <si>
    <t>lnNGDP peca</t>
  </si>
  <si>
    <t>lnNGDP peca</t>
    <phoneticPr fontId="2" type="noConversion"/>
  </si>
  <si>
    <t>lnNpop</t>
  </si>
  <si>
    <t>lnNpop</t>
    <phoneticPr fontId="2" type="noConversion"/>
  </si>
  <si>
    <t>Outpatients and Emergency visits</t>
    <phoneticPr fontId="2" type="noConversion"/>
  </si>
  <si>
    <t xml:space="preserve">Outpatients and Emergency visits </t>
    <phoneticPr fontId="2" type="noConversion"/>
  </si>
  <si>
    <t xml:space="preserve">OEVs </t>
    <phoneticPr fontId="2" type="noConversion"/>
  </si>
  <si>
    <t xml:space="preserve">lnOEVs </t>
    <phoneticPr fontId="2" type="noConversion"/>
  </si>
  <si>
    <t>OEVs</t>
    <phoneticPr fontId="2" type="noConversion"/>
  </si>
  <si>
    <t>actual OEVs</t>
    <phoneticPr fontId="2" type="noConversion"/>
  </si>
  <si>
    <t>ln_actual OEVs</t>
    <phoneticPr fontId="2" type="noConversion"/>
  </si>
  <si>
    <t>These datasets used and/or analyzed during the current study are available from the corresponding author on reasonable request.</t>
    <phoneticPr fontId="2" type="noConversion"/>
  </si>
  <si>
    <t>Abbreviation</t>
  </si>
  <si>
    <t>Note</t>
    <phoneticPr fontId="2" type="noConversion"/>
  </si>
  <si>
    <t>(Constant)</t>
    <phoneticPr fontId="2" type="noConversion"/>
  </si>
  <si>
    <t>Indicator</t>
  </si>
  <si>
    <t>Definition &amp; Unit</t>
  </si>
  <si>
    <t>Role in Model</t>
  </si>
  <si>
    <t>Data Source</t>
  </si>
  <si>
    <t>Reference</t>
  </si>
  <si>
    <t>Calendar year (time index)</t>
  </si>
  <si>
    <t>Time variable</t>
  </si>
  <si>
    <t>Benchmark Variable / Reference Outcome Variable</t>
  </si>
  <si>
    <t>China_population</t>
  </si>
  <si>
    <t>National population (10,000 persons)</t>
  </si>
  <si>
    <t>Scaling Variable / Contextual Control Variable</t>
  </si>
  <si>
    <t>China Statistical Yearbook</t>
  </si>
  <si>
    <t>N_DALYs</t>
  </si>
  <si>
    <t>Regional DALYs in City N (number of DALYs)</t>
  </si>
  <si>
    <t>Calculation based on national-level data</t>
  </si>
  <si>
    <t>N_population</t>
  </si>
  <si>
    <t>Regional population of City N (10,000 persons)</t>
  </si>
  <si>
    <t>Local statistical yearbooks</t>
  </si>
  <si>
    <t>Explanatory Variable</t>
  </si>
  <si>
    <t>Local health statistical yearbooks/ Local Health Commission reports</t>
  </si>
  <si>
    <t>Explanatory Variable / Key Scenario Simulation Variable</t>
  </si>
  <si>
    <t>Local health statistical yearbooks / Hospital reports</t>
  </si>
  <si>
    <t>Certified (Assistant) Doctors</t>
  </si>
  <si>
    <t>Nurses</t>
  </si>
  <si>
    <t>Annual outpatient and emergency visits of City N (cases)</t>
  </si>
  <si>
    <t>Number of Inpatients</t>
  </si>
  <si>
    <t>Annual inpatient admissions of City N (cases)</t>
  </si>
  <si>
    <t>Supplemental Table S1.1 Basic Indicator Characteristics</t>
    <phoneticPr fontId="2" type="noConversion"/>
  </si>
  <si>
    <t>Full English Term</t>
  </si>
  <si>
    <t>DALYs</t>
    <phoneticPr fontId="2" type="noConversion"/>
  </si>
  <si>
    <t>Disability-Adjusted Life Years</t>
    <phoneticPr fontId="2" type="noConversion"/>
  </si>
  <si>
    <t>GDP</t>
    <phoneticPr fontId="2" type="noConversion"/>
  </si>
  <si>
    <t>Gross Domestic Product</t>
  </si>
  <si>
    <t>Government Health Expenditure (GHE)</t>
    <phoneticPr fontId="2" type="noConversion"/>
  </si>
  <si>
    <t>Health Expenditure (HE) per capita</t>
    <phoneticPr fontId="2" type="noConversion"/>
  </si>
  <si>
    <t xml:space="preserve">Health Expenditure </t>
    <phoneticPr fontId="2" type="noConversion"/>
  </si>
  <si>
    <t>HE</t>
    <phoneticPr fontId="2" type="noConversion"/>
  </si>
  <si>
    <t>Outpatients and Emergency visits (OEVs)</t>
    <phoneticPr fontId="2" type="noConversion"/>
  </si>
  <si>
    <t>OEVs</t>
  </si>
  <si>
    <t>GDP per capita of City N (CNY/ person)</t>
    <phoneticPr fontId="2" type="noConversion"/>
  </si>
  <si>
    <t>Per capita health expenditure of City N (CNY/ person)</t>
    <phoneticPr fontId="2" type="noConversion"/>
  </si>
  <si>
    <t>National DALYs (number of DALYs)</t>
    <phoneticPr fontId="2" type="noConversion"/>
  </si>
  <si>
    <t xml:space="preserve">Global Burden of Disease </t>
    <phoneticPr fontId="2" type="noConversion"/>
  </si>
  <si>
    <t>GBD</t>
    <phoneticPr fontId="2" type="noConversion"/>
  </si>
  <si>
    <t>Supplemental Table S1.2 Glossary of Abbreviations</t>
    <phoneticPr fontId="2" type="noConversion"/>
  </si>
  <si>
    <t>Number of hospital beds of City N (beds)</t>
    <phoneticPr fontId="2" type="noConversion"/>
  </si>
  <si>
    <t>Number of licensed physicians of City N (person)</t>
    <phoneticPr fontId="2" type="noConversion"/>
  </si>
  <si>
    <t>Number of registered nurses of City N (person)</t>
    <phoneticPr fontId="2" type="noConversion"/>
  </si>
  <si>
    <t>Supplemental Table S2.1 Data Collection Form</t>
    <phoneticPr fontId="2" type="noConversion"/>
  </si>
  <si>
    <t>Variables</t>
    <phoneticPr fontId="2" type="noConversion"/>
  </si>
  <si>
    <t>Dataset</t>
    <phoneticPr fontId="2" type="noConversion"/>
  </si>
  <si>
    <t>Supplemental Table S3.1 Projection of DALYs and related indicators under the Counterfactual Scenario</t>
    <phoneticPr fontId="2" type="noConversion"/>
  </si>
  <si>
    <t>Supplemental Table S4.1 Original and log-transformed counterfactual datasets</t>
    <phoneticPr fontId="2" type="noConversion"/>
  </si>
  <si>
    <t>Supplemental Table S3.2 Performance of GM Models</t>
    <phoneticPr fontId="2" type="noConversion"/>
  </si>
  <si>
    <t>Model</t>
  </si>
  <si>
    <t>SE</t>
  </si>
  <si>
    <t>P</t>
  </si>
  <si>
    <t>Ln_N_DALYs</t>
  </si>
  <si>
    <t>Ln_ Population</t>
  </si>
  <si>
    <t>Ln_Beds</t>
  </si>
  <si>
    <t>Ln_Doctors</t>
  </si>
  <si>
    <t>Ln_OEVs</t>
  </si>
  <si>
    <t>Dependent Variable</t>
  </si>
  <si>
    <r>
      <t>R</t>
    </r>
    <r>
      <rPr>
        <b/>
        <i/>
        <vertAlign val="superscript"/>
        <sz val="9"/>
        <color theme="1"/>
        <rFont val="Times New Roman"/>
        <family val="1"/>
      </rPr>
      <t>2</t>
    </r>
  </si>
  <si>
    <t>ANOVA</t>
  </si>
  <si>
    <t xml:space="preserve">Supplemental Table S5.2 Indicator coefficient results of multiple linear regression model </t>
    <phoneticPr fontId="2" type="noConversion"/>
  </si>
  <si>
    <t>Supplemental Table S5.1 Parameter test results of multiple linear regression model</t>
    <phoneticPr fontId="2" type="noConversion"/>
  </si>
  <si>
    <r>
      <rPr>
        <sz val="9"/>
        <color theme="1"/>
        <rFont val="宋体"/>
        <family val="3"/>
        <charset val="134"/>
      </rPr>
      <t>＜</t>
    </r>
    <r>
      <rPr>
        <sz val="9"/>
        <color theme="1"/>
        <rFont val="Times New Roman"/>
        <family val="1"/>
      </rPr>
      <t>0.01</t>
    </r>
  </si>
  <si>
    <r>
      <rPr>
        <sz val="9"/>
        <color theme="1"/>
        <rFont val="宋体"/>
        <family val="3"/>
        <charset val="134"/>
      </rPr>
      <t>＜</t>
    </r>
    <r>
      <rPr>
        <sz val="9"/>
        <color theme="1"/>
        <rFont val="Times New Roman"/>
        <family val="1"/>
      </rPr>
      <t>0.001</t>
    </r>
  </si>
  <si>
    <r>
      <rPr>
        <sz val="10.5"/>
        <color theme="1"/>
        <rFont val="宋体"/>
        <family val="3"/>
        <charset val="134"/>
      </rPr>
      <t>＜</t>
    </r>
    <r>
      <rPr>
        <sz val="10.5"/>
        <color theme="1"/>
        <rFont val="Times New Roman"/>
        <family val="1"/>
      </rPr>
      <t>0.001</t>
    </r>
  </si>
  <si>
    <t>Parameter</t>
    <phoneticPr fontId="2" type="noConversion"/>
  </si>
  <si>
    <t>*DALYs attributable to Cardiovascular diseases and Neoplasms  in Ncity were calculated by using estimated national DALYs attributable to Cardiovascular diseases and Neoplasms adjusted to the urban level based on the proportion of the population.</t>
    <phoneticPr fontId="2" type="noConversion"/>
  </si>
  <si>
    <t>N_DALYs*</t>
    <phoneticPr fontId="2" type="noConversion"/>
  </si>
  <si>
    <t xml:space="preserve">Note: For the beds, according to the project construction plan, we simulated additional 1000 beds in 2025. After 2025, we will simulate a 5% increase of additional beds, according to early support documents. </t>
    <phoneticPr fontId="2" type="noConversion"/>
  </si>
  <si>
    <r>
      <t>Note</t>
    </r>
    <r>
      <rPr>
        <b/>
        <sz val="10"/>
        <color rgb="FFFF0000"/>
        <rFont val="SimSun"/>
        <family val="3"/>
        <charset val="134"/>
      </rPr>
      <t>：</t>
    </r>
    <r>
      <rPr>
        <b/>
        <sz val="10"/>
        <color rgb="FFFF0000"/>
        <rFont val="Times New Roman"/>
        <family val="1"/>
      </rPr>
      <t xml:space="preserve">On basis of data from the First Hospital of N City, we estimate changes (from 2025 to 2035) of OVEs using the TSA, and calculate the average growth rate per annum (the last five years) of the Certified (Assistant) Doctors and Nurses. For the certified (assistant) doctors and nurses, the new hospital plans to employ 300 doctors and 360 nurses in 2026 and they will increase at the original rate. we input their changes into the counterfactual data to simulate impact of new hospital.
</t>
    </r>
    <phoneticPr fontId="2" type="noConversion"/>
  </si>
  <si>
    <t>TSA</t>
    <phoneticPr fontId="2" type="noConversion"/>
  </si>
  <si>
    <t>Time Series Analysis</t>
    <phoneticPr fontId="2" type="noConversion"/>
  </si>
  <si>
    <t>growth rate</t>
    <phoneticPr fontId="2" type="noConversion"/>
  </si>
  <si>
    <t>SUM</t>
    <phoneticPr fontId="2" type="noConversion"/>
  </si>
  <si>
    <t>WDP</t>
    <phoneticPr fontId="2" type="noConversion"/>
  </si>
  <si>
    <t>Willing Distance to Pay</t>
    <phoneticPr fontId="2" type="noConversion"/>
  </si>
  <si>
    <t>Whether the distance is less than the WDP</t>
    <phoneticPr fontId="2" type="noConversion"/>
  </si>
  <si>
    <t>Distance to hospital (km)</t>
    <phoneticPr fontId="2" type="noConversion"/>
  </si>
  <si>
    <t>The Old Hospital</t>
    <phoneticPr fontId="2" type="noConversion"/>
  </si>
  <si>
    <t>The New Hospital</t>
    <phoneticPr fontId="2" type="noConversion"/>
  </si>
  <si>
    <t>Difference</t>
    <phoneticPr fontId="2" type="noConversion"/>
  </si>
  <si>
    <t>Districts and counties</t>
    <phoneticPr fontId="2" type="noConversion"/>
  </si>
  <si>
    <t>Note: If a district is located within 87 km of the hospital, patients are considered willing to travel to the hospital for medical treatment (coded as 1); otherwise, the district is coded as 0. The proportion of districts with a value of 1 can then be used to estimate the additional service volume attributable to the new hospital.</t>
    <phoneticPr fontId="2" type="noConversion"/>
  </si>
  <si>
    <t>Note: Based on the analysis results, we simulated a one‑third increase in OEVs</t>
    <phoneticPr fontId="2" type="noConversion"/>
  </si>
  <si>
    <t>Reference: Chen X, Feng J. Medical Insurance Reimbursement Benefits and Patients’ Choice of Cross-region Medical Treatment: Based on Spatial Distance, Hospital Level and Medical Insurance Benefits. Journal of Quantitative &amp; Technological Economics. 2024;41(04):131-52.</t>
    <phoneticPr fontId="2" type="noConversion"/>
  </si>
  <si>
    <t>Supplemental Table S6.1 Distances from different districts to the new hospital and to the old hospital</t>
    <phoneticPr fontId="2" type="noConversion"/>
  </si>
  <si>
    <t>add_OEVs</t>
    <phoneticPr fontId="2" type="noConversion"/>
  </si>
  <si>
    <t>Note: add_OEVs is obtained by increasing the originally calculated OEVs by one-third (due to the reduced travel distance to the new hospital). ln_actual_Beds, ln_actual Docs, ln_actual Nurs and ln_actual OEVs  are derived by adding the new hospital's data to the original dataset (the counterfactual scenario data) in order to simulate the impact of the new hospital on changes in these indicators.</t>
    <phoneticPr fontId="2" type="noConversion"/>
  </si>
  <si>
    <t>Supplemental Table S7.1 Scenario analysis settings</t>
    <phoneticPr fontId="2" type="noConversion"/>
  </si>
  <si>
    <t>lnNDALYs_C</t>
    <phoneticPr fontId="2" type="noConversion"/>
  </si>
  <si>
    <t>MAPE</t>
    <phoneticPr fontId="2" type="noConversion"/>
  </si>
  <si>
    <t>e</t>
    <phoneticPr fontId="2" type="noConversion"/>
  </si>
  <si>
    <t>Mean Absolute Percentage Error</t>
    <phoneticPr fontId="2" type="noConversion"/>
  </si>
  <si>
    <r>
      <t xml:space="preserve">
Cost savings</t>
    </r>
    <r>
      <rPr>
        <b/>
        <sz val="10"/>
        <color theme="1"/>
        <rFont val="等线"/>
        <family val="3"/>
        <charset val="134"/>
      </rPr>
      <t>（</t>
    </r>
    <r>
      <rPr>
        <b/>
        <sz val="10"/>
        <color theme="1"/>
        <rFont val="Times New Roman"/>
        <family val="1"/>
      </rPr>
      <t>47%GDP</t>
    </r>
    <r>
      <rPr>
        <b/>
        <sz val="10"/>
        <color theme="1"/>
        <rFont val="等线"/>
        <family val="3"/>
        <charset val="134"/>
      </rPr>
      <t>）</t>
    </r>
    <phoneticPr fontId="2" type="noConversion"/>
  </si>
  <si>
    <r>
      <t xml:space="preserve">
Cost savings</t>
    </r>
    <r>
      <rPr>
        <b/>
        <sz val="10"/>
        <color theme="1"/>
        <rFont val="等线"/>
        <family val="3"/>
        <charset val="134"/>
      </rPr>
      <t>（</t>
    </r>
    <r>
      <rPr>
        <b/>
        <sz val="10"/>
        <color theme="1"/>
        <rFont val="Times New Roman"/>
        <family val="1"/>
      </rPr>
      <t>88%GDP</t>
    </r>
    <r>
      <rPr>
        <b/>
        <sz val="10"/>
        <color theme="1"/>
        <rFont val="等线"/>
        <family val="3"/>
        <charset val="134"/>
      </rPr>
      <t>）</t>
    </r>
    <phoneticPr fontId="2" type="noConversion"/>
  </si>
  <si>
    <r>
      <t xml:space="preserve">
Cost savings</t>
    </r>
    <r>
      <rPr>
        <b/>
        <sz val="10"/>
        <color theme="1"/>
        <rFont val="等线"/>
        <family val="3"/>
        <charset val="134"/>
      </rPr>
      <t>（</t>
    </r>
    <r>
      <rPr>
        <b/>
        <sz val="10"/>
        <color theme="1"/>
        <rFont val="Times New Roman"/>
        <family val="1"/>
      </rPr>
      <t>1 times  GDP</t>
    </r>
    <r>
      <rPr>
        <b/>
        <sz val="10"/>
        <color theme="1"/>
        <rFont val="等线"/>
        <family val="3"/>
        <charset val="134"/>
      </rPr>
      <t>）</t>
    </r>
    <phoneticPr fontId="2" type="noConversion"/>
  </si>
  <si>
    <r>
      <t xml:space="preserve">
Cost savings</t>
    </r>
    <r>
      <rPr>
        <b/>
        <sz val="10"/>
        <color theme="1"/>
        <rFont val="等线"/>
        <family val="3"/>
        <charset val="134"/>
      </rPr>
      <t>（</t>
    </r>
    <r>
      <rPr>
        <b/>
        <sz val="10"/>
        <color theme="1"/>
        <rFont val="Times New Roman"/>
        <family val="1"/>
      </rPr>
      <t>3 times GDP</t>
    </r>
    <r>
      <rPr>
        <b/>
        <sz val="10"/>
        <color theme="1"/>
        <rFont val="等线"/>
        <family val="3"/>
        <charset val="134"/>
      </rPr>
      <t>）</t>
    </r>
    <phoneticPr fontId="2" type="noConversion"/>
  </si>
  <si>
    <t>Comparison of DALY differences across scenarios</t>
    <phoneticPr fontId="2" type="noConversion"/>
  </si>
  <si>
    <t>lnOVs</t>
    <phoneticPr fontId="2" type="noConversion"/>
  </si>
  <si>
    <r>
      <t xml:space="preserve">Exchange rate
</t>
    </r>
    <r>
      <rPr>
        <sz val="11"/>
        <color rgb="FFFF0000"/>
        <rFont val="SimSun"/>
        <family val="1"/>
        <charset val="134"/>
      </rPr>
      <t>（</t>
    </r>
    <r>
      <rPr>
        <sz val="11"/>
        <color rgb="FFFF0000"/>
        <rFont val="Times New Roman"/>
        <family val="1"/>
      </rPr>
      <t>CNY</t>
    </r>
    <r>
      <rPr>
        <sz val="11"/>
        <color rgb="FFFF0000"/>
        <rFont val="SimSun"/>
        <family val="1"/>
        <charset val="134"/>
      </rPr>
      <t>：</t>
    </r>
    <r>
      <rPr>
        <sz val="11"/>
        <color rgb="FFFF0000"/>
        <rFont val="Times New Roman"/>
        <family val="1"/>
      </rPr>
      <t>USD</t>
    </r>
    <r>
      <rPr>
        <sz val="11"/>
        <color rgb="FFFF0000"/>
        <rFont val="SimSun"/>
        <family val="1"/>
        <charset val="134"/>
      </rPr>
      <t>）</t>
    </r>
    <phoneticPr fontId="2" type="noConversion"/>
  </si>
  <si>
    <t>Time 
of 
discounting</t>
    <phoneticPr fontId="2" type="noConversion"/>
  </si>
  <si>
    <t>Supplemental Table S8.1 Robustness of DALY results calculated based on regression coefficients</t>
    <phoneticPr fontId="2" type="noConversion"/>
  </si>
  <si>
    <t>Supplemental Table S8.2 Compare the differences between factual and counterfactual scenarios and calculate the socioeconomic benefits.</t>
    <phoneticPr fontId="2" type="noConversion"/>
  </si>
  <si>
    <t>Explanatory Variable / Benchmark Variable for Socio-economic Benefit evaluation</t>
    <phoneticPr fontId="2" type="noConversion"/>
  </si>
  <si>
    <t>lnNDALYs_Actual</t>
    <phoneticPr fontId="2" type="noConversion"/>
  </si>
  <si>
    <r>
      <t>Not</t>
    </r>
    <r>
      <rPr>
        <b/>
        <sz val="11"/>
        <color rgb="FFFF0000"/>
        <rFont val="SimSun"/>
        <family val="1"/>
        <charset val="134"/>
      </rPr>
      <t>：</t>
    </r>
    <r>
      <rPr>
        <b/>
        <sz val="11"/>
        <color rgb="FFFF0000"/>
        <rFont val="Times New Roman"/>
        <family val="1"/>
      </rPr>
      <t>lnNDALYs_C is the DALYs calculated based on regression coefficients.</t>
    </r>
    <phoneticPr fontId="2" type="noConversion"/>
  </si>
  <si>
    <r>
      <t>Note</t>
    </r>
    <r>
      <rPr>
        <b/>
        <sz val="11"/>
        <color rgb="FFFF0000"/>
        <rFont val="SimSun"/>
        <family val="1"/>
        <charset val="134"/>
      </rPr>
      <t>：</t>
    </r>
    <r>
      <rPr>
        <b/>
        <sz val="11"/>
        <color rgb="FFFF0000"/>
        <rFont val="Times New Roman"/>
        <family val="1"/>
      </rPr>
      <t>lnNDALYs_Actual is the DALYs calculated using the adjusted indicator values and the regression coefficients, representing the DALYs under the factual scenario. The indicators highlighted in red are those that have been adjusted due to the impact of the new hospital.</t>
    </r>
    <phoneticPr fontId="2" type="noConversion"/>
  </si>
  <si>
    <t>Public health expenditure of City N (CNY)</t>
    <phoneticPr fontId="2" type="noConversion"/>
  </si>
  <si>
    <t>Dependent Variable / Outcome Variable</t>
    <phoneticPr fontId="2" type="noConversion"/>
  </si>
  <si>
    <t>Explanatory Variable / Normalization Variable</t>
    <phoneticPr fontId="2" type="noConversion"/>
  </si>
  <si>
    <t>Dependent Variable</t>
    <phoneticPr fontId="2" type="noConversion"/>
  </si>
  <si>
    <t xml:space="preserve">Ln_ GDP Per capita </t>
    <phoneticPr fontId="2" type="noConversion"/>
  </si>
  <si>
    <t>Ln_ HE Per capita</t>
    <phoneticPr fontId="2" type="noConversion"/>
  </si>
  <si>
    <t>1.	Mbau R, Musiega A, Nyawira L, Tsofa B, Mulwa A, Molyneux S, et al. Analysing the Efficiency of Health Systems: A Systematic Review of the Literature. Applied Health Economics and Health Policy. 2023;21(2):205-24.
2.	Rasi V, Delgoshaee B, Maleki M. Identification of common indicators of hospital performance evaluation models: A scoping review. J Educ Health Promot. 2020;9:63.
3.	Heenan MA, Randall GE, Evans JM, Reid EM. Multiple case study of processes used by hospitals to select performance indicators: do they align with best practices? Int J Qual Health Care. 2024;36(1).
4.	Veillard J, Champagne F, Klazinga N, Kazandjian V, Arah OA, Guisset A-L. A performance assessment framework for hospitals: the WHO regional office for Europe PATH project. International Journal for Quality in Health Care. 2005;17(6):487-96.
5.	Heenan MA, Randall GE, Evans JM. Selecting Performance Indicators and Targets in Health Care: An International Scoping Review and Standardized Process Framework. Risk Manag Healthc Policy. 2022;15:747-64.
6.	Leleu H, Al-Amin M, Rosko M, Valdmanis VG. A robust analysis of hospital efficiency and factors affecting variability. Health Serv Manage Res. 2018;31(1):33-42.
7.	Groene O, Klazinga N, Kazandjian V, Lombrail P, Bartels P. The World Health Organization Performance Assessment Tool for Quality Improvement in Hospitals (PATH): an analysis of the pilot implementation in 37 hospitals. Int J Qual Health Care. 2008;20(3):155-61.
8.	Zhou Y. Study on the evaluation of social benefit of large-scale hospital construction projects [Master]2018.
9.	Tong X. Research on Performance Assessment of the National Basic Public Health Services Project ——With Hubei Province as an example [Doctor]: Huazhong University of Science and Technology; 2018. 
10.	Lian L, Cao D, Li S, Zhan X, Wang X. Evaluation of the provision and utilization of basic public health services in Jiangsu province: a cross-sectional online survey. Chinese Journal of Public Health. 2024;40(05):550-5.
11.	Cao D, Guo H, Li S, Wang X, Chen J. Development of a conceptual framework and indicator system for evaluating basic public health service projects: a literature review and expert consultation study. Chinese Journal of Public Health. 2024;40(09):1095-102.
12.	Zhang Z. Evaluation Study on Qinghai Health Service Project (Health VIII) supported by World Bank Loans [Doctor]: Fudan University; 2008.</t>
    <phoneticPr fontId="2" type="noConversion"/>
  </si>
  <si>
    <t>GBD public database</t>
    <phoneticPr fontId="2" type="noConversion"/>
  </si>
  <si>
    <r>
      <t>*drop 2009</t>
    </r>
    <r>
      <rPr>
        <sz val="11"/>
        <color rgb="FFFF0000"/>
        <rFont val="等线"/>
        <family val="2"/>
      </rPr>
      <t>，20</t>
    </r>
    <r>
      <rPr>
        <sz val="11"/>
        <color rgb="FFFF0000"/>
        <rFont val="Times New Roman"/>
        <family val="1"/>
      </rPr>
      <t>10</t>
    </r>
    <phoneticPr fontId="2" type="noConversion"/>
  </si>
  <si>
    <t>×</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</si>
</sst>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24" formatCode="\$#,##0_);[Red]\(\$#,##0\)"/>
    <numFmt numFmtId="176" formatCode="_ * #,##0.00_ ;_ * \-#,##0.00_ ;_ * &quot;-&quot;??_ ;_ @_ "/>
    <numFmt numFmtId="177" formatCode="0_);[Red]\(0\)"/>
    <numFmt numFmtId="178" formatCode="#,##0_ "/>
    <numFmt numFmtId="179" formatCode="###0"/>
    <numFmt numFmtId="180" formatCode="0.000"/>
    <numFmt numFmtId="181" formatCode="###0.000"/>
    <numFmt numFmtId="182" formatCode="0.0"/>
    <numFmt numFmtId="183" formatCode="###0.00"/>
    <numFmt numFmtId="184" formatCode="0.0%"/>
    <numFmt numFmtId="185" formatCode="0_ "/>
    <numFmt numFmtId="186" formatCode="_ * #,##0_ ;_ * \-#,##0_ ;_ * &quot;-&quot;??_ ;_ @_ "/>
  </numFmts>
  <fonts count="35">
    <font>
      <sz val="11"/>
      <color theme="1"/>
      <name val="等线"/>
      <family val="2"/>
      <scheme val="minor"/>
    </font>
    <font>
      <sz val="11"/>
      <color theme="1"/>
      <name val="等线"/>
      <family val="2"/>
      <scheme val="minor"/>
    </font>
    <font>
      <sz val="9"/>
      <name val="等线"/>
      <family val="3"/>
      <charset val="134"/>
      <scheme val="minor"/>
    </font>
    <font>
      <sz val="10"/>
      <name val="Arial"/>
      <family val="2"/>
    </font>
    <font>
      <sz val="10"/>
      <color theme="1"/>
      <name val="Times New Roman"/>
      <family val="1"/>
    </font>
    <font>
      <b/>
      <sz val="10"/>
      <color theme="1"/>
      <name val="Times New Roman"/>
      <family val="1"/>
    </font>
    <font>
      <b/>
      <sz val="11"/>
      <color theme="1"/>
      <name val="Times New Roman"/>
      <family val="1"/>
    </font>
    <font>
      <sz val="11"/>
      <color theme="1"/>
      <name val="Times New Roman"/>
      <family val="1"/>
    </font>
    <font>
      <b/>
      <sz val="9"/>
      <color theme="1"/>
      <name val="Times New Roman"/>
      <family val="1"/>
    </font>
    <font>
      <sz val="9"/>
      <color theme="1"/>
      <name val="Times New Roman"/>
      <family val="1"/>
    </font>
    <font>
      <sz val="10"/>
      <color rgb="FFFF0000"/>
      <name val="Times New Roman"/>
      <family val="1"/>
    </font>
    <font>
      <sz val="10"/>
      <color rgb="FFC00000"/>
      <name val="Times New Roman"/>
      <family val="1"/>
    </font>
    <font>
      <b/>
      <sz val="10"/>
      <color rgb="FFFF0000"/>
      <name val="Times New Roman"/>
      <family val="1"/>
    </font>
    <font>
      <b/>
      <strike/>
      <sz val="10"/>
      <color theme="1"/>
      <name val="Times New Roman"/>
      <family val="1"/>
    </font>
    <font>
      <sz val="11"/>
      <color rgb="FFFF0000"/>
      <name val="Times New Roman"/>
      <family val="1"/>
    </font>
    <font>
      <sz val="8"/>
      <color theme="1"/>
      <name val="Times New Roman"/>
      <family val="1"/>
    </font>
    <font>
      <b/>
      <sz val="11"/>
      <color rgb="FFFF0000"/>
      <name val="Times New Roman"/>
      <family val="1"/>
    </font>
    <font>
      <sz val="11"/>
      <color rgb="FFFF0000"/>
      <name val="等线"/>
      <family val="2"/>
    </font>
    <font>
      <sz val="10.5"/>
      <color theme="1"/>
      <name val="Times New Roman"/>
      <family val="1"/>
    </font>
    <font>
      <b/>
      <sz val="10.5"/>
      <color theme="1"/>
      <name val="Times New Roman"/>
      <family val="1"/>
    </font>
    <font>
      <b/>
      <i/>
      <sz val="10.5"/>
      <color theme="1"/>
      <name val="Times New Roman"/>
      <family val="1"/>
    </font>
    <font>
      <sz val="10.5"/>
      <color theme="1"/>
      <name val="宋体"/>
      <family val="3"/>
      <charset val="134"/>
    </font>
    <font>
      <b/>
      <i/>
      <sz val="9"/>
      <color theme="1"/>
      <name val="Times New Roman"/>
      <family val="1"/>
    </font>
    <font>
      <b/>
      <i/>
      <vertAlign val="superscript"/>
      <sz val="9"/>
      <color theme="1"/>
      <name val="Times New Roman"/>
      <family val="1"/>
    </font>
    <font>
      <sz val="9"/>
      <color theme="1"/>
      <name val="宋体"/>
      <family val="3"/>
      <charset val="134"/>
    </font>
    <font>
      <b/>
      <sz val="10"/>
      <name val="Times New Roman"/>
      <family val="1"/>
    </font>
    <font>
      <sz val="9"/>
      <color rgb="FFFF0000"/>
      <name val="Times New Roman"/>
      <family val="1"/>
    </font>
    <font>
      <sz val="10"/>
      <name val="Times New Roman"/>
      <family val="1"/>
    </font>
    <font>
      <sz val="12"/>
      <color theme="1"/>
      <name val="Times New Roman"/>
      <family val="1"/>
    </font>
    <font>
      <sz val="9"/>
      <color indexed="60"/>
      <name val="Times New Roman"/>
      <family val="1"/>
    </font>
    <font>
      <b/>
      <sz val="10"/>
      <color rgb="FFFF0000"/>
      <name val="SimSun"/>
      <family val="3"/>
      <charset val="134"/>
    </font>
    <font>
      <b/>
      <sz val="10"/>
      <color theme="1"/>
      <name val="等线"/>
      <family val="3"/>
      <charset val="134"/>
    </font>
    <font>
      <sz val="12"/>
      <color rgb="FFFF0000"/>
      <name val="Times New Roman"/>
      <family val="1"/>
    </font>
    <font>
      <sz val="11"/>
      <color rgb="FFFF0000"/>
      <name val="SimSun"/>
      <family val="1"/>
      <charset val="134"/>
    </font>
    <font>
      <b/>
      <sz val="11"/>
      <color rgb="FFFF0000"/>
      <name val="SimSun"/>
      <family val="1"/>
      <charset val="134"/>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s>
  <cellStyleXfs count="6">
    <xf numFmtId="0" fontId="0" fillId="0" borderId="0"/>
    <xf numFmtId="176" fontId="1" fillId="0" borderId="0" applyFont="0" applyFill="0" applyBorder="0" applyAlignment="0" applyProtection="0">
      <alignment vertical="center"/>
    </xf>
    <xf numFmtId="9" fontId="1" fillId="0" borderId="0" applyFont="0" applyFill="0" applyBorder="0" applyAlignment="0" applyProtection="0">
      <alignment vertical="center"/>
    </xf>
    <xf numFmtId="0" fontId="3" fillId="0" borderId="0"/>
    <xf numFmtId="0" fontId="3" fillId="0" borderId="0"/>
    <xf numFmtId="0" fontId="3" fillId="0" borderId="0"/>
  </cellStyleXfs>
  <cellXfs count="186">
    <xf numFmtId="0" fontId="0" fillId="0" borderId="0" xfId="0"/>
    <xf numFmtId="0" fontId="7" fillId="0" borderId="0" xfId="0" applyFont="1"/>
    <xf numFmtId="0" fontId="4" fillId="0" borderId="0" xfId="0" applyFont="1"/>
    <xf numFmtId="0" fontId="5" fillId="6" borderId="1" xfId="0" applyFont="1" applyFill="1" applyBorder="1" applyAlignment="1">
      <alignment horizontal="center" vertical="center" wrapText="1"/>
    </xf>
    <xf numFmtId="0" fontId="4" fillId="0" borderId="1" xfId="0" applyFont="1" applyBorder="1"/>
    <xf numFmtId="0" fontId="4" fillId="0" borderId="1" xfId="0" applyFont="1" applyBorder="1" applyAlignment="1">
      <alignment vertical="center" wrapText="1"/>
    </xf>
    <xf numFmtId="0" fontId="5" fillId="6" borderId="1" xfId="0" applyFont="1" applyFill="1" applyBorder="1" applyAlignment="1">
      <alignment horizontal="center" vertical="center"/>
    </xf>
    <xf numFmtId="0" fontId="4" fillId="0" borderId="0" xfId="0" applyFont="1" applyAlignment="1">
      <alignment wrapText="1"/>
    </xf>
    <xf numFmtId="0" fontId="5" fillId="0" borderId="0" xfId="0" applyFont="1" applyAlignment="1">
      <alignment horizontal="center" vertical="center" wrapText="1"/>
    </xf>
    <xf numFmtId="0" fontId="4" fillId="0" borderId="1" xfId="0" applyFont="1" applyBorder="1" applyAlignment="1">
      <alignment horizontal="center" vertical="center" wrapText="1"/>
    </xf>
    <xf numFmtId="0" fontId="4" fillId="3" borderId="0" xfId="0" applyFont="1" applyFill="1" applyAlignment="1">
      <alignment wrapText="1"/>
    </xf>
    <xf numFmtId="0" fontId="12" fillId="3" borderId="0" xfId="0" applyFont="1" applyFill="1" applyAlignment="1">
      <alignment horizontal="left" vertical="center"/>
    </xf>
    <xf numFmtId="177" fontId="4" fillId="2" borderId="1" xfId="0" applyNumberFormat="1" applyFont="1" applyFill="1" applyBorder="1" applyAlignment="1">
      <alignment horizontal="right" vertical="center"/>
    </xf>
    <xf numFmtId="0" fontId="10" fillId="0" borderId="1" xfId="0" applyFont="1" applyBorder="1" applyAlignment="1">
      <alignment horizontal="center" vertical="center" wrapText="1"/>
    </xf>
    <xf numFmtId="1" fontId="14" fillId="0" borderId="1" xfId="0" applyNumberFormat="1" applyFont="1" applyBorder="1" applyAlignment="1">
      <alignment horizontal="right"/>
    </xf>
    <xf numFmtId="177" fontId="10" fillId="2" borderId="1" xfId="0" applyNumberFormat="1" applyFont="1" applyFill="1" applyBorder="1" applyAlignment="1">
      <alignment horizontal="right" vertical="center"/>
    </xf>
    <xf numFmtId="186" fontId="10" fillId="2" borderId="1" xfId="1" applyNumberFormat="1" applyFont="1" applyFill="1" applyBorder="1" applyAlignment="1">
      <alignment horizontal="right" vertical="center"/>
    </xf>
    <xf numFmtId="0" fontId="15" fillId="0" borderId="0" xfId="0" applyFont="1" applyAlignment="1">
      <alignment horizontal="left" vertical="center"/>
    </xf>
    <xf numFmtId="0" fontId="6" fillId="6" borderId="1" xfId="0" applyFont="1" applyFill="1" applyBorder="1" applyAlignment="1">
      <alignment horizontal="center" vertical="center"/>
    </xf>
    <xf numFmtId="0" fontId="13" fillId="6" borderId="1" xfId="0" applyFont="1" applyFill="1" applyBorder="1" applyAlignment="1">
      <alignment horizontal="center" vertical="center" wrapText="1"/>
    </xf>
    <xf numFmtId="0" fontId="7" fillId="0" borderId="1" xfId="0" applyFont="1" applyBorder="1"/>
    <xf numFmtId="180" fontId="7" fillId="0" borderId="1" xfId="0" applyNumberFormat="1" applyFont="1" applyBorder="1"/>
    <xf numFmtId="180" fontId="7" fillId="0" borderId="1" xfId="0" applyNumberFormat="1" applyFont="1" applyBorder="1" applyAlignment="1">
      <alignment wrapText="1"/>
    </xf>
    <xf numFmtId="0" fontId="14" fillId="3" borderId="1" xfId="0" applyFont="1" applyFill="1" applyBorder="1"/>
    <xf numFmtId="0" fontId="6" fillId="6" borderId="1" xfId="0" applyFont="1" applyFill="1" applyBorder="1"/>
    <xf numFmtId="0" fontId="16" fillId="6" borderId="1" xfId="0" applyFont="1" applyFill="1" applyBorder="1" applyAlignment="1">
      <alignment horizontal="center" vertical="center"/>
    </xf>
    <xf numFmtId="0" fontId="7" fillId="3" borderId="1" xfId="0" applyFont="1" applyFill="1" applyBorder="1"/>
    <xf numFmtId="0" fontId="16" fillId="3" borderId="1" xfId="0" applyFont="1" applyFill="1" applyBorder="1" applyAlignment="1">
      <alignment horizontal="center" vertical="center"/>
    </xf>
    <xf numFmtId="2" fontId="7" fillId="0" borderId="1" xfId="0" applyNumberFormat="1" applyFont="1" applyBorder="1"/>
    <xf numFmtId="2" fontId="7" fillId="5" borderId="1" xfId="0" applyNumberFormat="1" applyFont="1" applyFill="1" applyBorder="1"/>
    <xf numFmtId="0" fontId="10" fillId="2" borderId="1" xfId="0" applyFont="1" applyFill="1" applyBorder="1" applyAlignment="1">
      <alignment horizontal="center" vertical="center" wrapText="1"/>
    </xf>
    <xf numFmtId="1" fontId="14" fillId="2" borderId="1" xfId="0" applyNumberFormat="1" applyFont="1" applyFill="1" applyBorder="1" applyAlignment="1">
      <alignment horizontal="right"/>
    </xf>
    <xf numFmtId="0" fontId="7" fillId="2" borderId="0" xfId="0" applyFont="1" applyFill="1"/>
    <xf numFmtId="2" fontId="7" fillId="2" borderId="1" xfId="0" applyNumberFormat="1" applyFont="1" applyFill="1" applyBorder="1"/>
    <xf numFmtId="0" fontId="7" fillId="4" borderId="0" xfId="0" applyFont="1" applyFill="1"/>
    <xf numFmtId="0" fontId="7" fillId="5" borderId="0" xfId="0" applyFont="1" applyFill="1"/>
    <xf numFmtId="0" fontId="6" fillId="6" borderId="0" xfId="0" applyFont="1" applyFill="1"/>
    <xf numFmtId="0" fontId="19" fillId="6"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right" vertical="center"/>
    </xf>
    <xf numFmtId="0" fontId="22"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9" fillId="0" borderId="1" xfId="0" applyFont="1" applyBorder="1" applyAlignment="1">
      <alignment horizontal="right" vertical="center"/>
    </xf>
    <xf numFmtId="0" fontId="9" fillId="0" borderId="1" xfId="0" applyFont="1" applyBorder="1" applyAlignment="1">
      <alignment horizontal="right" vertical="center" wrapText="1"/>
    </xf>
    <xf numFmtId="0" fontId="4" fillId="0" borderId="0" xfId="0" applyFont="1" applyAlignment="1">
      <alignment horizontal="center" vertical="center" wrapText="1"/>
    </xf>
    <xf numFmtId="0" fontId="25" fillId="0" borderId="1" xfId="0" applyFont="1" applyBorder="1" applyAlignment="1">
      <alignment horizontal="center" vertical="center"/>
    </xf>
    <xf numFmtId="1" fontId="27" fillId="0" borderId="1" xfId="0" applyNumberFormat="1" applyFont="1" applyBorder="1" applyAlignment="1">
      <alignment vertical="center"/>
    </xf>
    <xf numFmtId="1" fontId="4" fillId="0" borderId="1" xfId="0" applyNumberFormat="1" applyFont="1" applyBorder="1"/>
    <xf numFmtId="1" fontId="4" fillId="2" borderId="1" xfId="0" applyNumberFormat="1" applyFont="1" applyFill="1" applyBorder="1" applyAlignment="1">
      <alignment horizontal="right" vertical="center" wrapText="1"/>
    </xf>
    <xf numFmtId="1" fontId="4" fillId="0" borderId="1" xfId="0" applyNumberFormat="1" applyFont="1" applyBorder="1" applyAlignment="1">
      <alignment horizontal="right" vertical="center" wrapText="1"/>
    </xf>
    <xf numFmtId="0" fontId="27" fillId="0" borderId="1" xfId="0" applyFont="1" applyBorder="1" applyAlignment="1">
      <alignment vertical="center"/>
    </xf>
    <xf numFmtId="0" fontId="27" fillId="0" borderId="1" xfId="3" applyFont="1" applyBorder="1" applyAlignment="1">
      <alignment horizontal="center" wrapText="1"/>
    </xf>
    <xf numFmtId="9" fontId="27" fillId="0" borderId="1" xfId="2" applyFont="1" applyBorder="1" applyAlignment="1"/>
    <xf numFmtId="9" fontId="27" fillId="0" borderId="1" xfId="2" applyFont="1" applyBorder="1" applyAlignment="1">
      <alignment horizontal="right" vertical="top"/>
    </xf>
    <xf numFmtId="1" fontId="4" fillId="2" borderId="1" xfId="1" applyNumberFormat="1" applyFont="1" applyFill="1" applyBorder="1" applyAlignment="1">
      <alignment horizontal="right" vertical="center" wrapText="1"/>
    </xf>
    <xf numFmtId="1" fontId="4" fillId="0" borderId="1" xfId="1" applyNumberFormat="1" applyFont="1" applyFill="1" applyBorder="1" applyAlignment="1">
      <alignment horizontal="right" vertical="center" wrapText="1"/>
    </xf>
    <xf numFmtId="1" fontId="4" fillId="0" borderId="1" xfId="1" applyNumberFormat="1" applyFont="1" applyBorder="1" applyAlignment="1">
      <alignment horizontal="right" vertical="center" wrapText="1"/>
    </xf>
    <xf numFmtId="179" fontId="4" fillId="0" borderId="0" xfId="0" applyNumberFormat="1" applyFont="1"/>
    <xf numFmtId="1" fontId="27" fillId="0" borderId="1" xfId="0" applyNumberFormat="1" applyFont="1" applyBorder="1"/>
    <xf numFmtId="179" fontId="27" fillId="0" borderId="1" xfId="3" applyNumberFormat="1" applyFont="1" applyBorder="1" applyAlignment="1">
      <alignment horizontal="right" vertical="top"/>
    </xf>
    <xf numFmtId="0" fontId="27" fillId="2" borderId="1" xfId="3" applyFont="1" applyFill="1" applyBorder="1" applyAlignment="1">
      <alignment horizontal="center" wrapText="1"/>
    </xf>
    <xf numFmtId="1" fontId="27" fillId="2" borderId="1" xfId="0" applyNumberFormat="1" applyFont="1" applyFill="1" applyBorder="1"/>
    <xf numFmtId="1" fontId="10" fillId="2" borderId="1" xfId="0" applyNumberFormat="1" applyFont="1" applyFill="1" applyBorder="1"/>
    <xf numFmtId="179" fontId="27" fillId="2" borderId="1" xfId="3" applyNumberFormat="1" applyFont="1" applyFill="1" applyBorder="1" applyAlignment="1">
      <alignment horizontal="right" vertical="top"/>
    </xf>
    <xf numFmtId="2" fontId="4" fillId="2" borderId="1" xfId="1" applyNumberFormat="1" applyFont="1" applyFill="1" applyBorder="1" applyAlignment="1">
      <alignment horizontal="right" vertical="center" wrapText="1"/>
    </xf>
    <xf numFmtId="2" fontId="4" fillId="0" borderId="1" xfId="1" applyNumberFormat="1" applyFont="1" applyFill="1" applyBorder="1" applyAlignment="1">
      <alignment horizontal="right" vertical="center" wrapText="1"/>
    </xf>
    <xf numFmtId="9" fontId="10" fillId="3" borderId="0" xfId="2" applyFont="1" applyFill="1" applyAlignment="1"/>
    <xf numFmtId="9" fontId="4" fillId="0" borderId="0" xfId="2" applyFont="1" applyAlignment="1"/>
    <xf numFmtId="181" fontId="29" fillId="0" borderId="0" xfId="4" applyNumberFormat="1" applyFont="1" applyAlignment="1">
      <alignment horizontal="right" vertical="top"/>
    </xf>
    <xf numFmtId="0" fontId="12" fillId="0" borderId="0" xfId="0" applyFont="1" applyAlignment="1">
      <alignment horizontal="left" vertical="center" wrapText="1"/>
    </xf>
    <xf numFmtId="0" fontId="28" fillId="3" borderId="1" xfId="0" applyFont="1" applyFill="1" applyBorder="1" applyAlignment="1">
      <alignment horizontal="center" vertical="center"/>
    </xf>
    <xf numFmtId="0" fontId="9" fillId="3" borderId="1" xfId="4" applyFont="1" applyFill="1" applyBorder="1" applyAlignment="1">
      <alignment horizontal="center" vertical="center" wrapText="1"/>
    </xf>
    <xf numFmtId="183" fontId="9" fillId="3" borderId="1" xfId="4" applyNumberFormat="1" applyFont="1" applyFill="1" applyBorder="1" applyAlignment="1">
      <alignment horizontal="right" vertical="top"/>
    </xf>
    <xf numFmtId="181" fontId="9" fillId="3" borderId="1" xfId="4" applyNumberFormat="1" applyFont="1" applyFill="1" applyBorder="1" applyAlignment="1">
      <alignment horizontal="right" vertical="top"/>
    </xf>
    <xf numFmtId="1" fontId="27" fillId="7" borderId="1" xfId="0" applyNumberFormat="1" applyFont="1" applyFill="1" applyBorder="1"/>
    <xf numFmtId="182" fontId="27" fillId="7" borderId="1" xfId="0" applyNumberFormat="1" applyFont="1" applyFill="1" applyBorder="1"/>
    <xf numFmtId="0" fontId="4" fillId="0" borderId="1" xfId="0" applyFont="1" applyBorder="1" applyAlignment="1">
      <alignment horizontal="center" vertical="center"/>
    </xf>
    <xf numFmtId="0" fontId="4" fillId="0" borderId="1" xfId="0" applyFont="1" applyBorder="1" applyAlignment="1">
      <alignment vertical="center"/>
    </xf>
    <xf numFmtId="0" fontId="10" fillId="0" borderId="1" xfId="0" applyFont="1" applyBorder="1" applyAlignment="1">
      <alignment horizontal="center" vertical="center"/>
    </xf>
    <xf numFmtId="0" fontId="10" fillId="0" borderId="1" xfId="0" applyFont="1" applyBorder="1" applyAlignment="1">
      <alignment vertical="center"/>
    </xf>
    <xf numFmtId="0" fontId="10" fillId="0" borderId="0" xfId="0" applyFont="1" applyAlignment="1">
      <alignment horizontal="center"/>
    </xf>
    <xf numFmtId="0" fontId="12" fillId="0" borderId="0" xfId="0" applyFont="1" applyAlignment="1">
      <alignment vertical="center" wrapText="1"/>
    </xf>
    <xf numFmtId="1" fontId="9" fillId="0" borderId="1" xfId="0" applyNumberFormat="1" applyFont="1" applyBorder="1" applyAlignment="1">
      <alignment vertical="center"/>
    </xf>
    <xf numFmtId="0" fontId="9" fillId="0" borderId="1" xfId="0" applyFont="1" applyBorder="1" applyAlignment="1">
      <alignment vertical="center"/>
    </xf>
    <xf numFmtId="0" fontId="25"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2" fontId="14" fillId="4" borderId="1" xfId="0" applyNumberFormat="1" applyFont="1" applyFill="1" applyBorder="1"/>
    <xf numFmtId="2" fontId="14" fillId="0" borderId="1" xfId="0" applyNumberFormat="1" applyFont="1" applyBorder="1"/>
    <xf numFmtId="2" fontId="14" fillId="2" borderId="1" xfId="0" applyNumberFormat="1" applyFont="1" applyFill="1" applyBorder="1"/>
    <xf numFmtId="185" fontId="7" fillId="0" borderId="1" xfId="0" applyNumberFormat="1" applyFont="1" applyBorder="1"/>
    <xf numFmtId="184" fontId="7" fillId="0" borderId="1" xfId="2" applyNumberFormat="1" applyFont="1" applyBorder="1" applyAlignment="1"/>
    <xf numFmtId="6" fontId="7" fillId="0" borderId="1" xfId="0" applyNumberFormat="1" applyFont="1" applyBorder="1"/>
    <xf numFmtId="6" fontId="7" fillId="0" borderId="5" xfId="0" applyNumberFormat="1" applyFont="1" applyBorder="1"/>
    <xf numFmtId="24" fontId="7" fillId="0" borderId="1" xfId="0" applyNumberFormat="1" applyFont="1" applyBorder="1"/>
    <xf numFmtId="1" fontId="7" fillId="0" borderId="1" xfId="0" applyNumberFormat="1" applyFont="1" applyBorder="1"/>
    <xf numFmtId="2" fontId="7" fillId="4" borderId="1" xfId="0" applyNumberFormat="1" applyFont="1" applyFill="1" applyBorder="1"/>
    <xf numFmtId="10" fontId="7" fillId="0" borderId="1" xfId="2" applyNumberFormat="1" applyFont="1" applyBorder="1" applyAlignment="1"/>
    <xf numFmtId="1" fontId="7" fillId="0" borderId="0" xfId="0" applyNumberFormat="1" applyFont="1"/>
    <xf numFmtId="2" fontId="7" fillId="0" borderId="0" xfId="0" applyNumberFormat="1" applyFont="1"/>
    <xf numFmtId="10" fontId="7" fillId="0" borderId="0" xfId="2" applyNumberFormat="1" applyFont="1" applyFill="1" applyBorder="1" applyAlignment="1"/>
    <xf numFmtId="0" fontId="7" fillId="0" borderId="0" xfId="0" applyFont="1" applyAlignment="1">
      <alignment vertical="center"/>
    </xf>
    <xf numFmtId="0" fontId="5" fillId="6" borderId="1" xfId="5" applyFont="1" applyFill="1" applyBorder="1" applyAlignment="1">
      <alignment horizontal="center" vertical="center" wrapText="1"/>
    </xf>
    <xf numFmtId="181" fontId="26" fillId="3" borderId="1" xfId="4" applyNumberFormat="1" applyFont="1" applyFill="1" applyBorder="1" applyAlignment="1">
      <alignment horizontal="center" vertical="center"/>
    </xf>
    <xf numFmtId="2" fontId="7" fillId="0" borderId="15" xfId="0" applyNumberFormat="1" applyFont="1" applyBorder="1"/>
    <xf numFmtId="0" fontId="10" fillId="3" borderId="1" xfId="0" applyFont="1" applyFill="1" applyBorder="1" applyAlignment="1">
      <alignment horizontal="center" vertical="center"/>
    </xf>
    <xf numFmtId="0" fontId="32" fillId="3" borderId="1" xfId="0" applyFont="1" applyFill="1" applyBorder="1" applyAlignment="1">
      <alignment horizontal="center" vertical="center"/>
    </xf>
    <xf numFmtId="0" fontId="26" fillId="3" borderId="1" xfId="4" applyFont="1" applyFill="1" applyBorder="1" applyAlignment="1">
      <alignment horizontal="center" vertical="center" wrapText="1"/>
    </xf>
    <xf numFmtId="0" fontId="14" fillId="3" borderId="1" xfId="0" applyFont="1" applyFill="1" applyBorder="1" applyAlignment="1">
      <alignment horizontal="center" vertical="center"/>
    </xf>
    <xf numFmtId="9" fontId="14" fillId="3" borderId="1" xfId="2" applyFont="1" applyFill="1" applyBorder="1" applyAlignment="1">
      <alignment horizontal="center" vertical="center" wrapText="1"/>
    </xf>
    <xf numFmtId="6" fontId="7" fillId="0" borderId="7" xfId="0" applyNumberFormat="1" applyFont="1" applyBorder="1"/>
    <xf numFmtId="0" fontId="5" fillId="6" borderId="7" xfId="5" applyFont="1" applyFill="1" applyBorder="1" applyAlignment="1">
      <alignment horizontal="center" vertical="center" wrapText="1"/>
    </xf>
    <xf numFmtId="0" fontId="10" fillId="3" borderId="0" xfId="0" applyFont="1" applyFill="1"/>
    <xf numFmtId="0" fontId="5" fillId="6" borderId="5" xfId="5" applyFont="1" applyFill="1" applyBorder="1" applyAlignment="1">
      <alignment horizontal="center" vertical="center" wrapText="1"/>
    </xf>
    <xf numFmtId="0" fontId="5" fillId="6" borderId="6" xfId="5" applyFont="1" applyFill="1" applyBorder="1" applyAlignment="1">
      <alignment horizontal="center" vertical="center" wrapText="1"/>
    </xf>
    <xf numFmtId="0" fontId="5" fillId="6" borderId="7" xfId="5" applyFont="1" applyFill="1" applyBorder="1" applyAlignment="1">
      <alignment horizontal="center" vertical="center" wrapText="1"/>
    </xf>
    <xf numFmtId="0" fontId="6" fillId="6" borderId="1" xfId="0" applyFont="1" applyFill="1" applyBorder="1" applyAlignment="1">
      <alignment horizontal="center"/>
    </xf>
    <xf numFmtId="0" fontId="6" fillId="6" borderId="1" xfId="0" applyFont="1" applyFill="1" applyBorder="1" applyAlignment="1">
      <alignment horizontal="center" vertical="center"/>
    </xf>
    <xf numFmtId="0" fontId="5" fillId="6" borderId="2" xfId="5" applyFont="1" applyFill="1" applyBorder="1" applyAlignment="1">
      <alignment horizontal="center" vertical="center" wrapText="1"/>
    </xf>
    <xf numFmtId="0" fontId="5" fillId="6" borderId="3" xfId="5" applyFont="1" applyFill="1" applyBorder="1" applyAlignment="1">
      <alignment horizontal="center" vertical="center" wrapText="1"/>
    </xf>
    <xf numFmtId="0" fontId="10" fillId="3" borderId="1" xfId="0" applyFont="1" applyFill="1" applyBorder="1" applyAlignment="1">
      <alignment horizontal="center" vertical="center"/>
    </xf>
    <xf numFmtId="0" fontId="16" fillId="3" borderId="0" xfId="0" applyFont="1" applyFill="1" applyAlignment="1">
      <alignment horizontal="left" wrapText="1"/>
    </xf>
    <xf numFmtId="0" fontId="16" fillId="3" borderId="0" xfId="0" applyFont="1" applyFill="1" applyAlignment="1">
      <alignment horizontal="left"/>
    </xf>
    <xf numFmtId="0" fontId="16" fillId="3" borderId="0" xfId="0" applyFont="1" applyFill="1" applyAlignment="1">
      <alignment horizontal="left" vertical="center" wrapText="1"/>
    </xf>
    <xf numFmtId="184" fontId="7" fillId="0" borderId="2" xfId="2" applyNumberFormat="1" applyFont="1" applyBorder="1" applyAlignment="1">
      <alignment horizontal="center"/>
    </xf>
    <xf numFmtId="184" fontId="7" fillId="0" borderId="15" xfId="2" applyNumberFormat="1" applyFont="1" applyBorder="1" applyAlignment="1">
      <alignment horizontal="center"/>
    </xf>
    <xf numFmtId="184" fontId="7" fillId="0" borderId="3" xfId="2" applyNumberFormat="1" applyFont="1" applyBorder="1" applyAlignment="1">
      <alignment horizontal="center"/>
    </xf>
    <xf numFmtId="0" fontId="5" fillId="6" borderId="1" xfId="0" applyFont="1" applyFill="1" applyBorder="1" applyAlignment="1">
      <alignment horizontal="center"/>
    </xf>
    <xf numFmtId="0" fontId="5" fillId="6" borderId="1" xfId="0" applyFont="1" applyFill="1" applyBorder="1" applyAlignment="1">
      <alignment horizontal="center" vertical="center"/>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3" xfId="0" applyFont="1" applyBorder="1" applyAlignment="1">
      <alignment horizontal="left" vertical="center" wrapText="1"/>
    </xf>
    <xf numFmtId="0" fontId="5" fillId="6" borderId="14" xfId="0" applyFont="1" applyFill="1" applyBorder="1" applyAlignment="1">
      <alignment horizontal="center" wrapText="1"/>
    </xf>
    <xf numFmtId="177" fontId="11" fillId="2" borderId="8" xfId="0" applyNumberFormat="1" applyFont="1" applyFill="1" applyBorder="1" applyAlignment="1">
      <alignment horizontal="center" vertical="center" wrapText="1"/>
    </xf>
    <xf numFmtId="177" fontId="11" fillId="2" borderId="13" xfId="0" applyNumberFormat="1" applyFont="1" applyFill="1" applyBorder="1" applyAlignment="1">
      <alignment horizontal="center" vertical="center" wrapText="1"/>
    </xf>
    <xf numFmtId="177" fontId="11" fillId="2" borderId="9" xfId="0" applyNumberFormat="1" applyFont="1" applyFill="1" applyBorder="1" applyAlignment="1">
      <alignment horizontal="center" vertical="center" wrapText="1"/>
    </xf>
    <xf numFmtId="177" fontId="11" fillId="2" borderId="4" xfId="0" applyNumberFormat="1" applyFont="1" applyFill="1" applyBorder="1" applyAlignment="1">
      <alignment horizontal="center" vertical="center" wrapText="1"/>
    </xf>
    <xf numFmtId="177" fontId="11" fillId="2" borderId="0" xfId="0" applyNumberFormat="1" applyFont="1" applyFill="1" applyAlignment="1">
      <alignment horizontal="center" vertical="center" wrapText="1"/>
    </xf>
    <xf numFmtId="177" fontId="11" fillId="2" borderId="10" xfId="0" applyNumberFormat="1" applyFont="1" applyFill="1" applyBorder="1" applyAlignment="1">
      <alignment horizontal="center" vertical="center" wrapText="1"/>
    </xf>
    <xf numFmtId="177" fontId="11" fillId="2" borderId="11" xfId="0" applyNumberFormat="1" applyFont="1" applyFill="1" applyBorder="1" applyAlignment="1">
      <alignment horizontal="center" vertical="center" wrapText="1"/>
    </xf>
    <xf numFmtId="177" fontId="11" fillId="2" borderId="14" xfId="0" applyNumberFormat="1" applyFont="1" applyFill="1" applyBorder="1" applyAlignment="1">
      <alignment horizontal="center" vertical="center" wrapText="1"/>
    </xf>
    <xf numFmtId="177" fontId="11" fillId="2" borderId="12" xfId="0" applyNumberFormat="1" applyFont="1" applyFill="1" applyBorder="1" applyAlignment="1">
      <alignment horizontal="center" vertical="center" wrapText="1"/>
    </xf>
    <xf numFmtId="0" fontId="12" fillId="3" borderId="0" xfId="0" applyFont="1" applyFill="1" applyAlignment="1">
      <alignment horizontal="left" vertical="center" wrapText="1"/>
    </xf>
    <xf numFmtId="178" fontId="12" fillId="3" borderId="0" xfId="0" applyNumberFormat="1" applyFont="1" applyFill="1" applyAlignment="1">
      <alignment horizontal="left"/>
    </xf>
    <xf numFmtId="0" fontId="6" fillId="0" borderId="2" xfId="0" applyFont="1" applyBorder="1" applyAlignment="1">
      <alignment horizontal="center" vertical="center"/>
    </xf>
    <xf numFmtId="0" fontId="6" fillId="0" borderId="15" xfId="0" applyFont="1" applyBorder="1" applyAlignment="1">
      <alignment horizontal="center" vertical="center"/>
    </xf>
    <xf numFmtId="0" fontId="6" fillId="0" borderId="3" xfId="0" applyFont="1" applyBorder="1" applyAlignment="1">
      <alignment horizontal="center" vertical="center"/>
    </xf>
    <xf numFmtId="177" fontId="11" fillId="0" borderId="8" xfId="0" applyNumberFormat="1" applyFont="1" applyBorder="1" applyAlignment="1">
      <alignment horizontal="center" vertical="center" wrapText="1"/>
    </xf>
    <xf numFmtId="177" fontId="11" fillId="0" borderId="13" xfId="0" applyNumberFormat="1" applyFont="1" applyBorder="1" applyAlignment="1">
      <alignment horizontal="center" vertical="center" wrapText="1"/>
    </xf>
    <xf numFmtId="177" fontId="11" fillId="0" borderId="9" xfId="0" applyNumberFormat="1" applyFont="1" applyBorder="1" applyAlignment="1">
      <alignment horizontal="center" vertical="center" wrapText="1"/>
    </xf>
    <xf numFmtId="177" fontId="11" fillId="0" borderId="4" xfId="0" applyNumberFormat="1" applyFont="1" applyBorder="1" applyAlignment="1">
      <alignment horizontal="center" vertical="center" wrapText="1"/>
    </xf>
    <xf numFmtId="177" fontId="11" fillId="0" borderId="0" xfId="0" applyNumberFormat="1" applyFont="1" applyAlignment="1">
      <alignment horizontal="center" vertical="center" wrapText="1"/>
    </xf>
    <xf numFmtId="177" fontId="11" fillId="0" borderId="10" xfId="0" applyNumberFormat="1" applyFont="1" applyBorder="1" applyAlignment="1">
      <alignment horizontal="center" vertical="center" wrapText="1"/>
    </xf>
    <xf numFmtId="177" fontId="11" fillId="0" borderId="11" xfId="0" applyNumberFormat="1" applyFont="1" applyBorder="1" applyAlignment="1">
      <alignment horizontal="center" vertical="center" wrapText="1"/>
    </xf>
    <xf numFmtId="177" fontId="11" fillId="0" borderId="14" xfId="0" applyNumberFormat="1" applyFont="1" applyBorder="1" applyAlignment="1">
      <alignment horizontal="center" vertical="center" wrapText="1"/>
    </xf>
    <xf numFmtId="177" fontId="11" fillId="0" borderId="12" xfId="0" applyNumberFormat="1" applyFont="1" applyBorder="1" applyAlignment="1">
      <alignment horizontal="center" vertical="center" wrapText="1"/>
    </xf>
    <xf numFmtId="0" fontId="6" fillId="6" borderId="0" xfId="0" applyFont="1" applyFill="1" applyAlignment="1">
      <alignment horizontal="center"/>
    </xf>
    <xf numFmtId="0" fontId="6" fillId="6" borderId="5" xfId="0" applyFont="1" applyFill="1" applyBorder="1" applyAlignment="1">
      <alignment horizontal="center"/>
    </xf>
    <xf numFmtId="0" fontId="6" fillId="6" borderId="6" xfId="0" applyFont="1" applyFill="1" applyBorder="1" applyAlignment="1">
      <alignment horizontal="center"/>
    </xf>
    <xf numFmtId="0" fontId="6" fillId="6" borderId="7" xfId="0" applyFont="1" applyFill="1" applyBorder="1" applyAlignment="1">
      <alignment horizont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8"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12" fillId="3" borderId="4" xfId="0" applyFont="1" applyFill="1" applyBorder="1" applyAlignment="1">
      <alignment horizontal="left" vertical="center" wrapText="1"/>
    </xf>
    <xf numFmtId="0" fontId="5" fillId="6" borderId="14" xfId="0" applyFont="1" applyFill="1" applyBorder="1" applyAlignment="1">
      <alignment horizont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11"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5" fillId="0" borderId="3" xfId="0" applyFont="1" applyBorder="1" applyAlignment="1">
      <alignment horizontal="center" vertical="center"/>
    </xf>
    <xf numFmtId="0" fontId="4" fillId="0" borderId="2" xfId="0" applyFont="1" applyBorder="1" applyAlignment="1">
      <alignment horizontal="center" vertical="center"/>
    </xf>
    <xf numFmtId="0" fontId="4" fillId="0" borderId="15" xfId="0" applyFont="1" applyBorder="1" applyAlignment="1">
      <alignment horizontal="center" vertical="center"/>
    </xf>
    <xf numFmtId="0" fontId="4" fillId="0" borderId="3" xfId="0" applyFont="1" applyBorder="1" applyAlignment="1">
      <alignment horizontal="center" vertical="center"/>
    </xf>
    <xf numFmtId="1" fontId="26" fillId="0" borderId="1" xfId="0" applyNumberFormat="1" applyFont="1" applyBorder="1" applyAlignment="1">
      <alignment horizontal="center" vertical="center" wrapText="1"/>
    </xf>
    <xf numFmtId="0" fontId="12" fillId="3" borderId="0" xfId="0" applyFont="1" applyFill="1" applyAlignment="1">
      <alignment vertical="center" wrapText="1"/>
    </xf>
    <xf numFmtId="0" fontId="4" fillId="3" borderId="1" xfId="0" applyFont="1" applyFill="1" applyBorder="1" applyAlignment="1">
      <alignment horizontal="center"/>
    </xf>
    <xf numFmtId="0" fontId="27" fillId="0" borderId="2" xfId="0" applyFont="1" applyBorder="1" applyAlignment="1">
      <alignment horizontal="center" vertical="center"/>
    </xf>
    <xf numFmtId="0" fontId="27" fillId="0" borderId="15" xfId="0" applyFont="1" applyBorder="1" applyAlignment="1">
      <alignment horizontal="center" vertical="center"/>
    </xf>
    <xf numFmtId="0" fontId="27" fillId="0" borderId="3" xfId="0" applyFont="1" applyBorder="1" applyAlignment="1">
      <alignment horizontal="center" vertical="center"/>
    </xf>
    <xf numFmtId="2" fontId="9" fillId="0" borderId="1" xfId="0" applyNumberFormat="1" applyFont="1" applyBorder="1" applyAlignment="1">
      <alignment horizontal="right" vertical="center"/>
    </xf>
  </cellXfs>
  <cellStyles count="6">
    <cellStyle name="百分比" xfId="2" builtinId="5"/>
    <cellStyle name="常规" xfId="0" builtinId="0"/>
    <cellStyle name="常规_4.系数" xfId="4" xr:uid="{56BC0109-4545-4F36-9E03-E1D4476BD8EF}"/>
    <cellStyle name="常规_TSA_原始数据" xfId="3" xr:uid="{47A26D7E-7C86-4C17-AB13-799E03FF0329}"/>
    <cellStyle name="常规_回归" xfId="5" xr:uid="{C943F1FC-96C9-41DC-BAC9-44A22BCF14F5}"/>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BEEA-70A4-E048-A477-2C58ED76C89D}">
  <dimension ref="A1:E27"/>
  <sheetViews>
    <sheetView zoomScale="120" zoomScaleNormal="120" workbookViewId="0">
      <selection activeCell="C14" sqref="C14"/>
    </sheetView>
  </sheetViews>
  <sheetFormatPr baseColWidth="10" defaultColWidth="30.1640625" defaultRowHeight="13"/>
  <cols>
    <col min="1" max="1" width="42.83203125" style="2" bestFit="1" customWidth="1"/>
    <col min="2" max="2" width="43.5" style="2" bestFit="1" customWidth="1"/>
    <col min="3" max="3" width="56.5" style="2" customWidth="1"/>
    <col min="4" max="4" width="47.5" style="2" customWidth="1"/>
    <col min="5" max="5" width="84.6640625" style="2" customWidth="1"/>
    <col min="6" max="16384" width="30.1640625" style="2"/>
  </cols>
  <sheetData>
    <row r="1" spans="1:5">
      <c r="A1" s="126" t="s">
        <v>139</v>
      </c>
      <c r="B1" s="126"/>
      <c r="C1" s="126"/>
      <c r="D1" s="126"/>
      <c r="E1" s="126"/>
    </row>
    <row r="2" spans="1:5" ht="14">
      <c r="A2" s="3" t="s">
        <v>112</v>
      </c>
      <c r="B2" s="3" t="s">
        <v>113</v>
      </c>
      <c r="C2" s="3" t="s">
        <v>114</v>
      </c>
      <c r="D2" s="3" t="s">
        <v>115</v>
      </c>
      <c r="E2" s="3" t="s">
        <v>116</v>
      </c>
    </row>
    <row r="3" spans="1:5" ht="14">
      <c r="A3" s="5" t="s">
        <v>59</v>
      </c>
      <c r="B3" s="5" t="s">
        <v>117</v>
      </c>
      <c r="C3" s="5" t="s">
        <v>118</v>
      </c>
      <c r="D3" s="5"/>
      <c r="E3" s="128" t="s">
        <v>230</v>
      </c>
    </row>
    <row r="4" spans="1:5" ht="14">
      <c r="A4" s="5" t="s">
        <v>1</v>
      </c>
      <c r="B4" s="5" t="s">
        <v>153</v>
      </c>
      <c r="C4" s="5" t="s">
        <v>119</v>
      </c>
      <c r="D4" s="5" t="s">
        <v>231</v>
      </c>
      <c r="E4" s="129"/>
    </row>
    <row r="5" spans="1:5" ht="14">
      <c r="A5" s="5" t="s">
        <v>120</v>
      </c>
      <c r="B5" s="5" t="s">
        <v>121</v>
      </c>
      <c r="C5" s="5" t="s">
        <v>122</v>
      </c>
      <c r="D5" s="5" t="s">
        <v>123</v>
      </c>
      <c r="E5" s="129"/>
    </row>
    <row r="6" spans="1:5" ht="14">
      <c r="A6" s="5" t="s">
        <v>124</v>
      </c>
      <c r="B6" s="5" t="s">
        <v>125</v>
      </c>
      <c r="C6" s="5" t="s">
        <v>225</v>
      </c>
      <c r="D6" s="5" t="s">
        <v>126</v>
      </c>
      <c r="E6" s="129"/>
    </row>
    <row r="7" spans="1:5" ht="14">
      <c r="A7" s="5" t="s">
        <v>127</v>
      </c>
      <c r="B7" s="5" t="s">
        <v>128</v>
      </c>
      <c r="C7" s="5" t="s">
        <v>226</v>
      </c>
      <c r="D7" s="5" t="s">
        <v>129</v>
      </c>
      <c r="E7" s="129"/>
    </row>
    <row r="8" spans="1:5" ht="14">
      <c r="A8" s="5" t="s">
        <v>72</v>
      </c>
      <c r="B8" s="5" t="s">
        <v>151</v>
      </c>
      <c r="C8" s="5" t="s">
        <v>220</v>
      </c>
      <c r="D8" s="5" t="s">
        <v>129</v>
      </c>
      <c r="E8" s="129"/>
    </row>
    <row r="9" spans="1:5" ht="14">
      <c r="A9" s="5" t="s">
        <v>145</v>
      </c>
      <c r="B9" s="5" t="s">
        <v>224</v>
      </c>
      <c r="C9" s="5" t="s">
        <v>130</v>
      </c>
      <c r="D9" s="5" t="s">
        <v>131</v>
      </c>
      <c r="E9" s="129"/>
    </row>
    <row r="10" spans="1:5" ht="14">
      <c r="A10" s="5" t="s">
        <v>146</v>
      </c>
      <c r="B10" s="5" t="s">
        <v>152</v>
      </c>
      <c r="C10" s="5" t="s">
        <v>130</v>
      </c>
      <c r="D10" s="5" t="s">
        <v>131</v>
      </c>
      <c r="E10" s="129"/>
    </row>
    <row r="11" spans="1:5" ht="14">
      <c r="A11" s="5" t="s">
        <v>13</v>
      </c>
      <c r="B11" s="5" t="s">
        <v>157</v>
      </c>
      <c r="C11" s="5" t="s">
        <v>132</v>
      </c>
      <c r="D11" s="5" t="s">
        <v>133</v>
      </c>
      <c r="E11" s="129"/>
    </row>
    <row r="12" spans="1:5" ht="14">
      <c r="A12" s="5" t="s">
        <v>134</v>
      </c>
      <c r="B12" s="5" t="s">
        <v>158</v>
      </c>
      <c r="C12" s="5" t="s">
        <v>132</v>
      </c>
      <c r="D12" s="5" t="s">
        <v>133</v>
      </c>
      <c r="E12" s="129"/>
    </row>
    <row r="13" spans="1:5" ht="14">
      <c r="A13" s="5" t="s">
        <v>135</v>
      </c>
      <c r="B13" s="5" t="s">
        <v>159</v>
      </c>
      <c r="C13" s="5" t="s">
        <v>132</v>
      </c>
      <c r="D13" s="5" t="s">
        <v>133</v>
      </c>
      <c r="E13" s="129"/>
    </row>
    <row r="14" spans="1:5" ht="14">
      <c r="A14" s="5" t="s">
        <v>149</v>
      </c>
      <c r="B14" s="5" t="s">
        <v>136</v>
      </c>
      <c r="C14" s="5" t="s">
        <v>132</v>
      </c>
      <c r="D14" s="5" t="s">
        <v>133</v>
      </c>
      <c r="E14" s="129"/>
    </row>
    <row r="15" spans="1:5" ht="14">
      <c r="A15" s="5" t="s">
        <v>137</v>
      </c>
      <c r="B15" s="5" t="s">
        <v>138</v>
      </c>
      <c r="C15" s="5" t="s">
        <v>130</v>
      </c>
      <c r="D15" s="5" t="s">
        <v>133</v>
      </c>
      <c r="E15" s="130"/>
    </row>
    <row r="17" spans="1:2">
      <c r="A17" s="127" t="s">
        <v>156</v>
      </c>
      <c r="B17" s="127"/>
    </row>
    <row r="18" spans="1:2" ht="14">
      <c r="A18" s="3" t="s">
        <v>109</v>
      </c>
      <c r="B18" s="3" t="s">
        <v>140</v>
      </c>
    </row>
    <row r="19" spans="1:2">
      <c r="A19" s="4" t="s">
        <v>141</v>
      </c>
      <c r="B19" s="4" t="s">
        <v>142</v>
      </c>
    </row>
    <row r="20" spans="1:2">
      <c r="A20" s="4" t="s">
        <v>143</v>
      </c>
      <c r="B20" s="4" t="s">
        <v>144</v>
      </c>
    </row>
    <row r="21" spans="1:2">
      <c r="A21" s="4" t="s">
        <v>17</v>
      </c>
      <c r="B21" s="4" t="s">
        <v>3</v>
      </c>
    </row>
    <row r="22" spans="1:2">
      <c r="A22" s="4" t="s">
        <v>148</v>
      </c>
      <c r="B22" s="4" t="s">
        <v>147</v>
      </c>
    </row>
    <row r="23" spans="1:2">
      <c r="A23" s="4" t="s">
        <v>105</v>
      </c>
      <c r="B23" s="4" t="s">
        <v>102</v>
      </c>
    </row>
    <row r="24" spans="1:2">
      <c r="A24" s="4" t="s">
        <v>155</v>
      </c>
      <c r="B24" s="4" t="s">
        <v>154</v>
      </c>
    </row>
    <row r="25" spans="1:2">
      <c r="A25" s="4" t="s">
        <v>187</v>
      </c>
      <c r="B25" s="4" t="s">
        <v>188</v>
      </c>
    </row>
    <row r="26" spans="1:2">
      <c r="A26" s="4" t="s">
        <v>191</v>
      </c>
      <c r="B26" s="4" t="s">
        <v>192</v>
      </c>
    </row>
    <row r="27" spans="1:2">
      <c r="A27" s="4" t="s">
        <v>207</v>
      </c>
      <c r="B27" s="4" t="s">
        <v>209</v>
      </c>
    </row>
  </sheetData>
  <mergeCells count="3">
    <mergeCell ref="A1:E1"/>
    <mergeCell ref="A17:B17"/>
    <mergeCell ref="E3:E15"/>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4C02C-42EF-48F2-B83C-BC76A5E05918}">
  <dimension ref="A1:M20"/>
  <sheetViews>
    <sheetView zoomScale="120" zoomScaleNormal="120" workbookViewId="0">
      <selection activeCell="B16" sqref="B16:H16"/>
    </sheetView>
  </sheetViews>
  <sheetFormatPr baseColWidth="10" defaultColWidth="9.83203125" defaultRowHeight="13"/>
  <cols>
    <col min="1" max="1" width="6.5" style="7" bestFit="1" customWidth="1"/>
    <col min="2" max="2" width="14.1640625" style="7" bestFit="1" customWidth="1"/>
    <col min="3" max="3" width="16.6640625" style="7" bestFit="1" customWidth="1"/>
    <col min="4" max="4" width="19.1640625" style="7" customWidth="1"/>
    <col min="5" max="5" width="22.83203125" style="7" bestFit="1" customWidth="1"/>
    <col min="6" max="6" width="17.83203125" style="7" bestFit="1" customWidth="1"/>
    <col min="7" max="7" width="22.5" style="7" customWidth="1"/>
    <col min="8" max="8" width="22.83203125" style="7" bestFit="1" customWidth="1"/>
    <col min="9" max="9" width="8.33203125" style="7" bestFit="1" customWidth="1"/>
    <col min="10" max="10" width="22.83203125" style="7" customWidth="1"/>
    <col min="11" max="11" width="13" style="7" bestFit="1" customWidth="1"/>
    <col min="12" max="12" width="19.5" style="7" customWidth="1"/>
    <col min="13" max="13" width="13" style="7" bestFit="1" customWidth="1"/>
    <col min="14" max="16384" width="9.83203125" style="7"/>
  </cols>
  <sheetData>
    <row r="1" spans="1:13">
      <c r="A1" s="131" t="s">
        <v>160</v>
      </c>
      <c r="B1" s="131"/>
      <c r="C1" s="131"/>
      <c r="D1" s="131"/>
      <c r="E1" s="131"/>
      <c r="F1" s="131"/>
      <c r="G1" s="131"/>
      <c r="H1" s="131"/>
      <c r="I1" s="131"/>
      <c r="J1" s="131"/>
      <c r="K1" s="131"/>
      <c r="L1" s="131"/>
      <c r="M1" s="131"/>
    </row>
    <row r="2" spans="1:13" s="8" customFormat="1" ht="28">
      <c r="A2" s="3" t="s">
        <v>0</v>
      </c>
      <c r="B2" s="3" t="s">
        <v>1</v>
      </c>
      <c r="C2" s="3" t="s">
        <v>184</v>
      </c>
      <c r="D2" s="3" t="s">
        <v>2</v>
      </c>
      <c r="E2" s="3" t="s">
        <v>68</v>
      </c>
      <c r="F2" s="3" t="s">
        <v>69</v>
      </c>
      <c r="G2" s="3" t="s">
        <v>3</v>
      </c>
      <c r="H2" s="3" t="s">
        <v>4</v>
      </c>
      <c r="I2" s="3" t="s">
        <v>5</v>
      </c>
      <c r="J2" s="3" t="s">
        <v>6</v>
      </c>
      <c r="K2" s="3" t="s">
        <v>7</v>
      </c>
      <c r="L2" s="3" t="s">
        <v>101</v>
      </c>
      <c r="M2" s="3" t="s">
        <v>8</v>
      </c>
    </row>
    <row r="3" spans="1:13" ht="13" customHeight="1">
      <c r="A3" s="9">
        <v>2009</v>
      </c>
      <c r="B3" s="132" t="s">
        <v>108</v>
      </c>
      <c r="C3" s="133"/>
      <c r="D3" s="133"/>
      <c r="E3" s="133"/>
      <c r="F3" s="133"/>
      <c r="G3" s="133"/>
      <c r="H3" s="133"/>
      <c r="I3" s="133"/>
      <c r="J3" s="133"/>
      <c r="K3" s="133"/>
      <c r="L3" s="133"/>
      <c r="M3" s="134"/>
    </row>
    <row r="4" spans="1:13">
      <c r="A4" s="9">
        <v>2010</v>
      </c>
      <c r="B4" s="135"/>
      <c r="C4" s="136"/>
      <c r="D4" s="136"/>
      <c r="E4" s="136"/>
      <c r="F4" s="136"/>
      <c r="G4" s="136"/>
      <c r="H4" s="136"/>
      <c r="I4" s="136"/>
      <c r="J4" s="136"/>
      <c r="K4" s="136"/>
      <c r="L4" s="136"/>
      <c r="M4" s="137"/>
    </row>
    <row r="5" spans="1:13">
      <c r="A5" s="9">
        <v>2011</v>
      </c>
      <c r="B5" s="135"/>
      <c r="C5" s="136"/>
      <c r="D5" s="136"/>
      <c r="E5" s="136"/>
      <c r="F5" s="136"/>
      <c r="G5" s="136"/>
      <c r="H5" s="136"/>
      <c r="I5" s="136"/>
      <c r="J5" s="136"/>
      <c r="K5" s="136"/>
      <c r="L5" s="136"/>
      <c r="M5" s="137"/>
    </row>
    <row r="6" spans="1:13">
      <c r="A6" s="9">
        <v>2012</v>
      </c>
      <c r="B6" s="135"/>
      <c r="C6" s="136"/>
      <c r="D6" s="136"/>
      <c r="E6" s="136"/>
      <c r="F6" s="136"/>
      <c r="G6" s="136"/>
      <c r="H6" s="136"/>
      <c r="I6" s="136"/>
      <c r="J6" s="136"/>
      <c r="K6" s="136"/>
      <c r="L6" s="136"/>
      <c r="M6" s="137"/>
    </row>
    <row r="7" spans="1:13">
      <c r="A7" s="9">
        <v>2013</v>
      </c>
      <c r="B7" s="135"/>
      <c r="C7" s="136"/>
      <c r="D7" s="136"/>
      <c r="E7" s="136"/>
      <c r="F7" s="136"/>
      <c r="G7" s="136"/>
      <c r="H7" s="136"/>
      <c r="I7" s="136"/>
      <c r="J7" s="136"/>
      <c r="K7" s="136"/>
      <c r="L7" s="136"/>
      <c r="M7" s="137"/>
    </row>
    <row r="8" spans="1:13">
      <c r="A8" s="9">
        <v>2014</v>
      </c>
      <c r="B8" s="135"/>
      <c r="C8" s="136"/>
      <c r="D8" s="136"/>
      <c r="E8" s="136"/>
      <c r="F8" s="136"/>
      <c r="G8" s="136"/>
      <c r="H8" s="136"/>
      <c r="I8" s="136"/>
      <c r="J8" s="136"/>
      <c r="K8" s="136"/>
      <c r="L8" s="136"/>
      <c r="M8" s="137"/>
    </row>
    <row r="9" spans="1:13">
      <c r="A9" s="9">
        <v>2015</v>
      </c>
      <c r="B9" s="135"/>
      <c r="C9" s="136"/>
      <c r="D9" s="136"/>
      <c r="E9" s="136"/>
      <c r="F9" s="136"/>
      <c r="G9" s="136"/>
      <c r="H9" s="136"/>
      <c r="I9" s="136"/>
      <c r="J9" s="136"/>
      <c r="K9" s="136"/>
      <c r="L9" s="136"/>
      <c r="M9" s="137"/>
    </row>
    <row r="10" spans="1:13">
      <c r="A10" s="9">
        <v>2016</v>
      </c>
      <c r="B10" s="135"/>
      <c r="C10" s="136"/>
      <c r="D10" s="136"/>
      <c r="E10" s="136"/>
      <c r="F10" s="136"/>
      <c r="G10" s="136"/>
      <c r="H10" s="136"/>
      <c r="I10" s="136"/>
      <c r="J10" s="136"/>
      <c r="K10" s="136"/>
      <c r="L10" s="136"/>
      <c r="M10" s="137"/>
    </row>
    <row r="11" spans="1:13">
      <c r="A11" s="9">
        <v>2017</v>
      </c>
      <c r="B11" s="135"/>
      <c r="C11" s="136"/>
      <c r="D11" s="136"/>
      <c r="E11" s="136"/>
      <c r="F11" s="136"/>
      <c r="G11" s="136"/>
      <c r="H11" s="136"/>
      <c r="I11" s="136"/>
      <c r="J11" s="136"/>
      <c r="K11" s="136"/>
      <c r="L11" s="136"/>
      <c r="M11" s="137"/>
    </row>
    <row r="12" spans="1:13">
      <c r="A12" s="9">
        <v>2018</v>
      </c>
      <c r="B12" s="135"/>
      <c r="C12" s="136"/>
      <c r="D12" s="136"/>
      <c r="E12" s="136"/>
      <c r="F12" s="136"/>
      <c r="G12" s="136"/>
      <c r="H12" s="136"/>
      <c r="I12" s="136"/>
      <c r="J12" s="136"/>
      <c r="K12" s="136"/>
      <c r="L12" s="136"/>
      <c r="M12" s="137"/>
    </row>
    <row r="13" spans="1:13">
      <c r="A13" s="9">
        <v>2019</v>
      </c>
      <c r="B13" s="138"/>
      <c r="C13" s="139"/>
      <c r="D13" s="139"/>
      <c r="E13" s="139"/>
      <c r="F13" s="139"/>
      <c r="G13" s="139"/>
      <c r="H13" s="139"/>
      <c r="I13" s="139"/>
      <c r="J13" s="139"/>
      <c r="K13" s="139"/>
      <c r="L13" s="139"/>
      <c r="M13" s="140"/>
    </row>
    <row r="16" spans="1:13" ht="29" customHeight="1">
      <c r="B16" s="141" t="s">
        <v>183</v>
      </c>
      <c r="C16" s="141"/>
      <c r="D16" s="141"/>
      <c r="E16" s="141"/>
      <c r="F16" s="141"/>
      <c r="G16" s="141"/>
      <c r="H16" s="141"/>
    </row>
    <row r="18" spans="2:8" ht="17" customHeight="1">
      <c r="B18" s="142" t="s">
        <v>70</v>
      </c>
      <c r="C18" s="142"/>
      <c r="D18" s="142"/>
      <c r="E18" s="142"/>
      <c r="F18" s="10"/>
      <c r="G18" s="10"/>
      <c r="H18" s="10"/>
    </row>
    <row r="20" spans="2:8">
      <c r="B20" s="11" t="s">
        <v>9</v>
      </c>
      <c r="C20" s="11"/>
      <c r="D20" s="11"/>
      <c r="E20" s="11"/>
      <c r="F20" s="11"/>
      <c r="G20" s="11"/>
      <c r="H20" s="11"/>
    </row>
  </sheetData>
  <mergeCells count="4">
    <mergeCell ref="A1:M1"/>
    <mergeCell ref="B3:M13"/>
    <mergeCell ref="B16:H16"/>
    <mergeCell ref="B18:E18"/>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17F63-9F4B-4886-A0A1-8013A6109EBC}">
  <dimension ref="A1:R38"/>
  <sheetViews>
    <sheetView zoomScale="120" zoomScaleNormal="120" workbookViewId="0">
      <selection activeCell="I38" sqref="I38"/>
    </sheetView>
  </sheetViews>
  <sheetFormatPr baseColWidth="10" defaultColWidth="8.83203125" defaultRowHeight="14"/>
  <cols>
    <col min="1" max="1" width="11.83203125" style="1" bestFit="1" customWidth="1"/>
    <col min="2" max="2" width="10.33203125" style="1" bestFit="1" customWidth="1"/>
    <col min="3" max="3" width="11.33203125" style="1" bestFit="1" customWidth="1"/>
    <col min="4" max="4" width="19" style="1" bestFit="1" customWidth="1"/>
    <col min="5" max="5" width="15.83203125" style="1" bestFit="1" customWidth="1"/>
    <col min="6" max="6" width="17.5" style="1" bestFit="1" customWidth="1"/>
    <col min="7" max="7" width="17.1640625" style="1" bestFit="1" customWidth="1"/>
    <col min="8" max="8" width="10.33203125" style="1" bestFit="1" customWidth="1"/>
    <col min="9" max="9" width="16.83203125" style="1" bestFit="1" customWidth="1"/>
    <col min="10" max="10" width="9.33203125" style="1" bestFit="1" customWidth="1"/>
    <col min="11" max="11" width="14.83203125" style="1" bestFit="1" customWidth="1"/>
    <col min="12" max="12" width="12.6640625" style="1" bestFit="1" customWidth="1"/>
    <col min="13" max="13" width="11.83203125" style="1" bestFit="1" customWidth="1"/>
    <col min="14" max="17" width="8.83203125" style="1"/>
    <col min="18" max="18" width="10.6640625" style="1" bestFit="1" customWidth="1"/>
    <col min="19" max="16384" width="8.83203125" style="1"/>
  </cols>
  <sheetData>
    <row r="1" spans="1:12">
      <c r="A1" s="115" t="s">
        <v>163</v>
      </c>
      <c r="B1" s="115"/>
      <c r="C1" s="115"/>
      <c r="D1" s="115"/>
      <c r="E1" s="115"/>
      <c r="F1" s="115"/>
      <c r="G1" s="115"/>
      <c r="H1" s="115"/>
      <c r="I1" s="115"/>
      <c r="J1" s="115"/>
      <c r="K1" s="115"/>
      <c r="L1" s="115"/>
    </row>
    <row r="2" spans="1:12" ht="28">
      <c r="A2" s="18" t="s">
        <v>161</v>
      </c>
      <c r="B2" s="3" t="s">
        <v>0</v>
      </c>
      <c r="C2" s="18" t="s">
        <v>71</v>
      </c>
      <c r="D2" s="3" t="s">
        <v>68</v>
      </c>
      <c r="E2" s="3" t="s">
        <v>72</v>
      </c>
      <c r="F2" s="3" t="s">
        <v>3</v>
      </c>
      <c r="G2" s="3" t="s">
        <v>4</v>
      </c>
      <c r="H2" s="3" t="s">
        <v>5</v>
      </c>
      <c r="I2" s="3" t="s">
        <v>6</v>
      </c>
      <c r="J2" s="3" t="s">
        <v>7</v>
      </c>
      <c r="K2" s="3" t="s">
        <v>102</v>
      </c>
      <c r="L2" s="19" t="s">
        <v>8</v>
      </c>
    </row>
    <row r="3" spans="1:12">
      <c r="A3" s="18" t="s">
        <v>109</v>
      </c>
      <c r="B3" s="3" t="s">
        <v>0</v>
      </c>
      <c r="C3" s="18" t="s">
        <v>71</v>
      </c>
      <c r="D3" s="3" t="s">
        <v>74</v>
      </c>
      <c r="E3" s="3" t="s">
        <v>73</v>
      </c>
      <c r="F3" s="3" t="s">
        <v>17</v>
      </c>
      <c r="G3" s="3" t="s">
        <v>22</v>
      </c>
      <c r="H3" s="3" t="s">
        <v>5</v>
      </c>
      <c r="I3" s="3" t="s">
        <v>35</v>
      </c>
      <c r="J3" s="3" t="s">
        <v>36</v>
      </c>
      <c r="K3" s="3" t="s">
        <v>103</v>
      </c>
      <c r="L3" s="19" t="s">
        <v>20</v>
      </c>
    </row>
    <row r="4" spans="1:12" ht="15" customHeight="1">
      <c r="A4" s="143" t="s">
        <v>162</v>
      </c>
      <c r="B4" s="9">
        <v>2009</v>
      </c>
      <c r="C4" s="132" t="s">
        <v>108</v>
      </c>
      <c r="D4" s="133"/>
      <c r="E4" s="133"/>
      <c r="F4" s="133"/>
      <c r="G4" s="133"/>
      <c r="H4" s="133"/>
      <c r="I4" s="133"/>
      <c r="J4" s="133"/>
      <c r="K4" s="134"/>
      <c r="L4" s="12"/>
    </row>
    <row r="5" spans="1:12">
      <c r="A5" s="144"/>
      <c r="B5" s="9">
        <v>2010</v>
      </c>
      <c r="C5" s="135"/>
      <c r="D5" s="136"/>
      <c r="E5" s="136"/>
      <c r="F5" s="136"/>
      <c r="G5" s="136"/>
      <c r="H5" s="136"/>
      <c r="I5" s="136"/>
      <c r="J5" s="136"/>
      <c r="K5" s="137"/>
      <c r="L5" s="12"/>
    </row>
    <row r="6" spans="1:12">
      <c r="A6" s="144"/>
      <c r="B6" s="9">
        <v>2011</v>
      </c>
      <c r="C6" s="135"/>
      <c r="D6" s="136"/>
      <c r="E6" s="136"/>
      <c r="F6" s="136"/>
      <c r="G6" s="136"/>
      <c r="H6" s="136"/>
      <c r="I6" s="136"/>
      <c r="J6" s="136"/>
      <c r="K6" s="137"/>
      <c r="L6" s="12"/>
    </row>
    <row r="7" spans="1:12">
      <c r="A7" s="144"/>
      <c r="B7" s="9">
        <v>2012</v>
      </c>
      <c r="C7" s="135"/>
      <c r="D7" s="136"/>
      <c r="E7" s="136"/>
      <c r="F7" s="136"/>
      <c r="G7" s="136"/>
      <c r="H7" s="136"/>
      <c r="I7" s="136"/>
      <c r="J7" s="136"/>
      <c r="K7" s="137"/>
      <c r="L7" s="12"/>
    </row>
    <row r="8" spans="1:12">
      <c r="A8" s="144"/>
      <c r="B8" s="9">
        <v>2013</v>
      </c>
      <c r="C8" s="135"/>
      <c r="D8" s="136"/>
      <c r="E8" s="136"/>
      <c r="F8" s="136"/>
      <c r="G8" s="136"/>
      <c r="H8" s="136"/>
      <c r="I8" s="136"/>
      <c r="J8" s="136"/>
      <c r="K8" s="137"/>
      <c r="L8" s="12"/>
    </row>
    <row r="9" spans="1:12">
      <c r="A9" s="144"/>
      <c r="B9" s="9">
        <v>2014</v>
      </c>
      <c r="C9" s="135"/>
      <c r="D9" s="136"/>
      <c r="E9" s="136"/>
      <c r="F9" s="136"/>
      <c r="G9" s="136"/>
      <c r="H9" s="136"/>
      <c r="I9" s="136"/>
      <c r="J9" s="136"/>
      <c r="K9" s="137"/>
      <c r="L9" s="12"/>
    </row>
    <row r="10" spans="1:12">
      <c r="A10" s="144"/>
      <c r="B10" s="9">
        <v>2015</v>
      </c>
      <c r="C10" s="135"/>
      <c r="D10" s="136"/>
      <c r="E10" s="136"/>
      <c r="F10" s="136"/>
      <c r="G10" s="136"/>
      <c r="H10" s="136"/>
      <c r="I10" s="136"/>
      <c r="J10" s="136"/>
      <c r="K10" s="137"/>
      <c r="L10" s="12"/>
    </row>
    <row r="11" spans="1:12">
      <c r="A11" s="144"/>
      <c r="B11" s="9">
        <v>2016</v>
      </c>
      <c r="C11" s="135"/>
      <c r="D11" s="136"/>
      <c r="E11" s="136"/>
      <c r="F11" s="136"/>
      <c r="G11" s="136"/>
      <c r="H11" s="136"/>
      <c r="I11" s="136"/>
      <c r="J11" s="136"/>
      <c r="K11" s="137"/>
      <c r="L11" s="12"/>
    </row>
    <row r="12" spans="1:12">
      <c r="A12" s="144"/>
      <c r="B12" s="9">
        <v>2017</v>
      </c>
      <c r="C12" s="135"/>
      <c r="D12" s="136"/>
      <c r="E12" s="136"/>
      <c r="F12" s="136"/>
      <c r="G12" s="136"/>
      <c r="H12" s="136"/>
      <c r="I12" s="136"/>
      <c r="J12" s="136"/>
      <c r="K12" s="137"/>
      <c r="L12" s="12"/>
    </row>
    <row r="13" spans="1:12">
      <c r="A13" s="144"/>
      <c r="B13" s="9">
        <v>2018</v>
      </c>
      <c r="C13" s="135"/>
      <c r="D13" s="136"/>
      <c r="E13" s="136"/>
      <c r="F13" s="136"/>
      <c r="G13" s="136"/>
      <c r="H13" s="136"/>
      <c r="I13" s="136"/>
      <c r="J13" s="136"/>
      <c r="K13" s="137"/>
      <c r="L13" s="12"/>
    </row>
    <row r="14" spans="1:12">
      <c r="A14" s="144"/>
      <c r="B14" s="9">
        <v>2019</v>
      </c>
      <c r="C14" s="138"/>
      <c r="D14" s="139"/>
      <c r="E14" s="139"/>
      <c r="F14" s="139"/>
      <c r="G14" s="139"/>
      <c r="H14" s="139"/>
      <c r="I14" s="139"/>
      <c r="J14" s="139"/>
      <c r="K14" s="140"/>
      <c r="L14" s="12"/>
    </row>
    <row r="15" spans="1:12">
      <c r="A15" s="144"/>
      <c r="B15" s="13">
        <v>2020</v>
      </c>
      <c r="C15" s="14">
        <v>302486.25665827998</v>
      </c>
      <c r="D15" s="15">
        <v>268.95070285000003</v>
      </c>
      <c r="E15" s="15">
        <v>83302.947837300002</v>
      </c>
      <c r="F15" s="16">
        <v>409049.90447156999</v>
      </c>
      <c r="G15" s="15">
        <v>1548.26179333</v>
      </c>
      <c r="H15" s="15">
        <v>18529.562266159999</v>
      </c>
      <c r="I15" s="15">
        <v>5971.4280757099996</v>
      </c>
      <c r="J15" s="15">
        <v>8659.34373615</v>
      </c>
      <c r="K15" s="15">
        <v>17095022.793503702</v>
      </c>
      <c r="L15" s="15"/>
    </row>
    <row r="16" spans="1:12">
      <c r="A16" s="144"/>
      <c r="B16" s="13">
        <v>2021</v>
      </c>
      <c r="C16" s="14">
        <v>305549.38818284997</v>
      </c>
      <c r="D16" s="15">
        <v>269.4730639</v>
      </c>
      <c r="E16" s="15">
        <v>92061.482695529994</v>
      </c>
      <c r="F16" s="16">
        <v>463305.88803579001</v>
      </c>
      <c r="G16" s="15">
        <v>1795.92211582</v>
      </c>
      <c r="H16" s="15">
        <v>19412.44047895</v>
      </c>
      <c r="I16" s="15">
        <v>6114.5906983599998</v>
      </c>
      <c r="J16" s="15">
        <v>9144.7417066199996</v>
      </c>
      <c r="K16" s="15">
        <v>17549686.795710102</v>
      </c>
      <c r="L16" s="15"/>
    </row>
    <row r="17" spans="1:18">
      <c r="A17" s="144"/>
      <c r="B17" s="13">
        <v>2022</v>
      </c>
      <c r="C17" s="14">
        <v>308643.53855383</v>
      </c>
      <c r="D17" s="15">
        <v>269.99643949</v>
      </c>
      <c r="E17" s="15">
        <v>101740.89652449</v>
      </c>
      <c r="F17" s="16">
        <v>524758.33276609995</v>
      </c>
      <c r="G17" s="15">
        <v>2083.1982420499999</v>
      </c>
      <c r="H17" s="15">
        <v>20337.385197529999</v>
      </c>
      <c r="I17" s="15">
        <v>6261.1855881700003</v>
      </c>
      <c r="J17" s="15">
        <v>9657.3485738500003</v>
      </c>
      <c r="K17" s="15">
        <v>18016443.168742798</v>
      </c>
      <c r="L17" s="15"/>
    </row>
    <row r="18" spans="1:18">
      <c r="A18" s="144"/>
      <c r="B18" s="13">
        <v>2023</v>
      </c>
      <c r="C18" s="14">
        <v>311769.02188403002</v>
      </c>
      <c r="D18" s="15">
        <v>270.52083159</v>
      </c>
      <c r="E18" s="15">
        <v>112438.01123474</v>
      </c>
      <c r="F18" s="16">
        <v>594361.77030882996</v>
      </c>
      <c r="G18" s="15">
        <v>2416.4271253500001</v>
      </c>
      <c r="H18" s="15">
        <v>21306.400765089998</v>
      </c>
      <c r="I18" s="15">
        <v>6411.2950324000003</v>
      </c>
      <c r="J18" s="15">
        <v>10198.689527709999</v>
      </c>
      <c r="K18" s="15">
        <v>18495613.524674501</v>
      </c>
      <c r="L18" s="15"/>
    </row>
    <row r="19" spans="1:18">
      <c r="A19" s="144"/>
      <c r="B19" s="13">
        <v>2024</v>
      </c>
      <c r="C19" s="14">
        <v>314926.15546710999</v>
      </c>
      <c r="D19" s="15">
        <v>271.04624217000003</v>
      </c>
      <c r="E19" s="15">
        <v>124259.82866565</v>
      </c>
      <c r="F19" s="16">
        <v>673197.34046434995</v>
      </c>
      <c r="G19" s="15">
        <v>2802.9593795999999</v>
      </c>
      <c r="H19" s="15">
        <v>22321.587025730001</v>
      </c>
      <c r="I19" s="15">
        <v>6565.0032910899999</v>
      </c>
      <c r="J19" s="15">
        <v>10770.375252289999</v>
      </c>
      <c r="K19" s="15">
        <v>18987528.029262699</v>
      </c>
      <c r="L19" s="15"/>
    </row>
    <row r="20" spans="1:18">
      <c r="A20" s="144"/>
      <c r="B20" s="13">
        <v>2025</v>
      </c>
      <c r="C20" s="14">
        <v>318115.25980984</v>
      </c>
      <c r="D20" s="15">
        <v>271.57267322000001</v>
      </c>
      <c r="E20" s="15">
        <v>137324.60091082999</v>
      </c>
      <c r="F20" s="16">
        <v>762489.58437012997</v>
      </c>
      <c r="G20" s="15">
        <v>3251.3214246299999</v>
      </c>
      <c r="H20" s="15">
        <v>23385.143874869998</v>
      </c>
      <c r="I20" s="15">
        <v>6722.3966443999998</v>
      </c>
      <c r="J20" s="15">
        <v>11374.10671831</v>
      </c>
      <c r="K20" s="15">
        <v>19492525.629445601</v>
      </c>
      <c r="L20" s="15"/>
    </row>
    <row r="21" spans="1:18">
      <c r="A21" s="144"/>
      <c r="B21" s="13">
        <v>2026</v>
      </c>
      <c r="C21" s="14">
        <v>321336.65866457002</v>
      </c>
      <c r="D21" s="15">
        <v>272.10012670999998</v>
      </c>
      <c r="E21" s="15">
        <v>151763.01317829001</v>
      </c>
      <c r="F21" s="16">
        <v>863625.46511533996</v>
      </c>
      <c r="G21" s="15">
        <v>3771.4035683699999</v>
      </c>
      <c r="H21" s="15">
        <v>24499.376026360002</v>
      </c>
      <c r="I21" s="15">
        <v>6883.5634410000002</v>
      </c>
      <c r="J21" s="15">
        <v>12011.680244110001</v>
      </c>
      <c r="K21" s="15">
        <v>20010954.286888599</v>
      </c>
      <c r="L21" s="15"/>
    </row>
    <row r="22" spans="1:18">
      <c r="A22" s="144"/>
      <c r="B22" s="13">
        <v>2027</v>
      </c>
      <c r="C22" s="14">
        <v>324590.67906215001</v>
      </c>
      <c r="D22" s="15">
        <v>272.62860462999998</v>
      </c>
      <c r="E22" s="15">
        <v>167719.49101756999</v>
      </c>
      <c r="F22" s="16">
        <v>978175.91123136994</v>
      </c>
      <c r="G22" s="15">
        <v>4374.6781747900004</v>
      </c>
      <c r="H22" s="15">
        <v>25666.698006750001</v>
      </c>
      <c r="I22" s="15">
        <v>7048.5941477099996</v>
      </c>
      <c r="J22" s="15">
        <v>12684.992840319999</v>
      </c>
      <c r="K22" s="15">
        <v>20543171.217743099</v>
      </c>
      <c r="L22" s="15"/>
    </row>
    <row r="23" spans="1:18">
      <c r="A23" s="144"/>
      <c r="B23" s="13">
        <v>2028</v>
      </c>
      <c r="C23" s="14">
        <v>327877.65134513</v>
      </c>
      <c r="D23" s="15">
        <v>273.15810897</v>
      </c>
      <c r="E23" s="15">
        <v>185353.64498953999</v>
      </c>
      <c r="F23" s="16">
        <v>1107920.21769013</v>
      </c>
      <c r="G23" s="15">
        <v>5074.4527298700004</v>
      </c>
      <c r="H23" s="15">
        <v>26889.6393876</v>
      </c>
      <c r="I23" s="15">
        <v>7217.5814002300003</v>
      </c>
      <c r="J23" s="15">
        <v>13396.04785415</v>
      </c>
      <c r="K23" s="15">
        <v>21089543.138780799</v>
      </c>
      <c r="L23" s="15"/>
      <c r="R23" s="17"/>
    </row>
    <row r="24" spans="1:18">
      <c r="A24" s="144"/>
      <c r="B24" s="13">
        <v>2029</v>
      </c>
      <c r="C24" s="14">
        <v>331197.90920125</v>
      </c>
      <c r="D24" s="15">
        <v>273.68864172000002</v>
      </c>
      <c r="E24" s="15">
        <v>204841.86723003001</v>
      </c>
      <c r="F24" s="16">
        <v>1254873.68342708</v>
      </c>
      <c r="G24" s="15">
        <v>5886.1633882200003</v>
      </c>
      <c r="H24" s="15">
        <v>28170.85026694</v>
      </c>
      <c r="I24" s="15">
        <v>7390.6200552</v>
      </c>
      <c r="J24" s="15">
        <v>14146.960930110001</v>
      </c>
      <c r="K24" s="15">
        <v>21650446.520075299</v>
      </c>
      <c r="L24" s="15"/>
    </row>
    <row r="25" spans="1:18">
      <c r="A25" s="144"/>
      <c r="B25" s="13">
        <v>2030</v>
      </c>
      <c r="C25" s="14">
        <v>334551.78969735</v>
      </c>
      <c r="D25" s="15">
        <v>274.22020487999998</v>
      </c>
      <c r="E25" s="15">
        <v>226379.09587724999</v>
      </c>
      <c r="F25" s="16">
        <v>1421318.9146786199</v>
      </c>
      <c r="G25" s="15">
        <v>6827.7154753799996</v>
      </c>
      <c r="H25" s="15">
        <v>29513.10701208</v>
      </c>
      <c r="I25" s="15">
        <v>7567.8072433699999</v>
      </c>
      <c r="J25" s="15">
        <v>14939.96630477</v>
      </c>
      <c r="K25" s="15">
        <v>22226267.8444032</v>
      </c>
      <c r="L25" s="15"/>
    </row>
    <row r="26" spans="1:18">
      <c r="A26" s="144"/>
      <c r="B26" s="13">
        <v>2031</v>
      </c>
      <c r="C26" s="14">
        <v>337939.63331360999</v>
      </c>
      <c r="D26" s="15">
        <v>274.75280046</v>
      </c>
      <c r="E26" s="15">
        <v>250180.76501251999</v>
      </c>
      <c r="F26" s="16">
        <v>1609841.2803639099</v>
      </c>
      <c r="G26" s="15">
        <v>7919.8784569999998</v>
      </c>
      <c r="H26" s="15">
        <v>30919.318275909998</v>
      </c>
      <c r="I26" s="15">
        <v>7749.2424241899998</v>
      </c>
      <c r="J26" s="15">
        <v>15777.42345443</v>
      </c>
      <c r="K26" s="15">
        <v>22817403.873545501</v>
      </c>
      <c r="L26" s="15"/>
    </row>
    <row r="27" spans="1:18">
      <c r="A27" s="144"/>
      <c r="B27" s="13">
        <v>2032</v>
      </c>
      <c r="C27" s="14">
        <v>341361.78397803998</v>
      </c>
      <c r="D27" s="15">
        <v>275.28643045000001</v>
      </c>
      <c r="E27" s="15">
        <v>276484.95961918001</v>
      </c>
      <c r="F27" s="16">
        <v>1823369.0702341001</v>
      </c>
      <c r="G27" s="15">
        <v>9186.7440873699998</v>
      </c>
      <c r="H27" s="15">
        <v>32392.53129993</v>
      </c>
      <c r="I27" s="15">
        <v>7935.0274415900003</v>
      </c>
      <c r="J27" s="15">
        <v>16661.824115430001</v>
      </c>
      <c r="K27" s="15">
        <v>23424261.921669699</v>
      </c>
      <c r="L27" s="15"/>
    </row>
    <row r="28" spans="1:18">
      <c r="A28" s="144"/>
      <c r="B28" s="13">
        <v>2033</v>
      </c>
      <c r="C28" s="14">
        <v>344818.58910148003</v>
      </c>
      <c r="D28" s="15">
        <v>275.82109687000002</v>
      </c>
      <c r="E28" s="15">
        <v>305554.79711558</v>
      </c>
      <c r="F28" s="16">
        <v>2065218.9795597901</v>
      </c>
      <c r="G28" s="15">
        <v>10656.257843470001</v>
      </c>
      <c r="H28" s="15">
        <v>33935.938517590002</v>
      </c>
      <c r="I28" s="15">
        <v>8125.2665811999996</v>
      </c>
      <c r="J28" s="15">
        <v>17595.799697909999</v>
      </c>
      <c r="K28" s="15">
        <v>24047260.1359853</v>
      </c>
      <c r="L28" s="15"/>
    </row>
    <row r="29" spans="1:18">
      <c r="A29" s="144"/>
      <c r="B29" s="13">
        <v>2034</v>
      </c>
      <c r="C29" s="14">
        <v>348310.39961282001</v>
      </c>
      <c r="D29" s="15">
        <v>276.35680172999997</v>
      </c>
      <c r="E29" s="15">
        <v>337681.05928415997</v>
      </c>
      <c r="F29" s="16">
        <v>2339147.6268632598</v>
      </c>
      <c r="G29" s="15">
        <v>12360.83536741</v>
      </c>
      <c r="H29" s="15">
        <v>35552.884472229998</v>
      </c>
      <c r="I29" s="15">
        <v>8320.0666288100001</v>
      </c>
      <c r="J29" s="15">
        <v>18582.129115290001</v>
      </c>
      <c r="K29" s="15">
        <v>24686827.784861401</v>
      </c>
      <c r="L29" s="15"/>
    </row>
    <row r="30" spans="1:18">
      <c r="A30" s="145"/>
      <c r="B30" s="13">
        <v>2035</v>
      </c>
      <c r="C30" s="14">
        <v>351837.56999463</v>
      </c>
      <c r="D30" s="15">
        <v>276.89354703999999</v>
      </c>
      <c r="E30" s="15">
        <v>373185.10092360998</v>
      </c>
      <c r="F30" s="16">
        <v>2649409.9049130101</v>
      </c>
      <c r="G30" s="15">
        <v>14338.07751508</v>
      </c>
      <c r="H30" s="15">
        <v>37246.87306469</v>
      </c>
      <c r="I30" s="15">
        <v>8519.5369303999996</v>
      </c>
      <c r="J30" s="15">
        <v>19623.747052449999</v>
      </c>
      <c r="K30" s="15">
        <v>25343405.553608801</v>
      </c>
      <c r="L30" s="15"/>
    </row>
    <row r="32" spans="1:18">
      <c r="B32" s="115" t="s">
        <v>165</v>
      </c>
      <c r="C32" s="115"/>
      <c r="D32" s="115"/>
      <c r="E32" s="115"/>
      <c r="F32" s="115"/>
      <c r="G32" s="115"/>
      <c r="H32" s="115"/>
      <c r="I32" s="115"/>
      <c r="J32" s="115"/>
      <c r="K32" s="115"/>
      <c r="L32" s="115"/>
    </row>
    <row r="33" spans="2:12">
      <c r="B33" s="24" t="s">
        <v>67</v>
      </c>
      <c r="C33" s="18" t="s">
        <v>18</v>
      </c>
      <c r="D33" s="3" t="s">
        <v>19</v>
      </c>
      <c r="E33" s="3" t="s">
        <v>21</v>
      </c>
      <c r="F33" s="3" t="s">
        <v>17</v>
      </c>
      <c r="G33" s="3" t="s">
        <v>22</v>
      </c>
      <c r="H33" s="3" t="s">
        <v>5</v>
      </c>
      <c r="I33" s="3" t="s">
        <v>35</v>
      </c>
      <c r="J33" s="3" t="s">
        <v>36</v>
      </c>
      <c r="K33" s="3" t="s">
        <v>103</v>
      </c>
      <c r="L33" s="3" t="s">
        <v>20</v>
      </c>
    </row>
    <row r="34" spans="2:12">
      <c r="B34" s="20" t="s">
        <v>89</v>
      </c>
      <c r="C34" s="21">
        <v>-1.0075585087647901E-2</v>
      </c>
      <c r="D34" s="21">
        <v>-1.9403349053988201E-3</v>
      </c>
      <c r="E34" s="21">
        <v>-9.9972707261891905E-2</v>
      </c>
      <c r="F34" s="21">
        <v>-0.124550336824684</v>
      </c>
      <c r="G34" s="21">
        <v>-0.14838572557858701</v>
      </c>
      <c r="H34" s="21">
        <v>-4.6546705312834599E-2</v>
      </c>
      <c r="I34" s="21">
        <v>2.3691725400817001E-2</v>
      </c>
      <c r="J34" s="21">
        <f>-0.0545400985673889</f>
        <v>-5.4540098567388902E-2</v>
      </c>
      <c r="K34" s="21">
        <f>-0.0262487469206649</f>
        <v>-2.6248746920664898E-2</v>
      </c>
      <c r="L34" s="21">
        <v>9.2627527591605894E-3</v>
      </c>
    </row>
    <row r="35" spans="2:12">
      <c r="B35" s="20" t="s">
        <v>90</v>
      </c>
      <c r="C35" s="21">
        <v>269120.07754158601</v>
      </c>
      <c r="D35" s="21">
        <v>262.96393370914802</v>
      </c>
      <c r="E35" s="21">
        <v>26792.704371646701</v>
      </c>
      <c r="F35" s="21">
        <v>102846.02421268899</v>
      </c>
      <c r="G35" s="21">
        <v>296.15302284863702</v>
      </c>
      <c r="H35" s="21">
        <v>10927.953444602899</v>
      </c>
      <c r="I35" s="21">
        <v>4777.1590643719201</v>
      </c>
      <c r="J35" s="21">
        <v>4667.6504338909299</v>
      </c>
      <c r="K35" s="21">
        <v>12749148.8422563</v>
      </c>
      <c r="L35" s="21">
        <v>495400.71045203001</v>
      </c>
    </row>
    <row r="36" spans="2:12">
      <c r="B36" s="20" t="s">
        <v>80</v>
      </c>
      <c r="C36" s="21">
        <v>0.115941021427447</v>
      </c>
      <c r="D36" s="21">
        <v>2.3378977974983801E-2</v>
      </c>
      <c r="E36" s="21">
        <v>5.62908773210414E-3</v>
      </c>
      <c r="F36" s="21">
        <v>7.9207495621974294E-2</v>
      </c>
      <c r="G36" s="22">
        <v>4.4624093296904997E-2</v>
      </c>
      <c r="H36" s="21">
        <v>0.2004988031221</v>
      </c>
      <c r="I36" s="21">
        <v>0.128045772560549</v>
      </c>
      <c r="J36" s="21">
        <v>8.6359534131850296E-2</v>
      </c>
      <c r="K36" s="21">
        <v>8.9628223625649595E-2</v>
      </c>
      <c r="L36" s="21">
        <v>0.29482381428906601</v>
      </c>
    </row>
    <row r="37" spans="2:12">
      <c r="B37" s="20" t="s">
        <v>91</v>
      </c>
      <c r="C37" s="21">
        <v>1</v>
      </c>
      <c r="D37" s="21">
        <v>1</v>
      </c>
      <c r="E37" s="21">
        <v>1</v>
      </c>
      <c r="F37" s="21">
        <v>1</v>
      </c>
      <c r="G37" s="21">
        <v>1</v>
      </c>
      <c r="H37" s="21">
        <v>1</v>
      </c>
      <c r="I37" s="21">
        <v>1</v>
      </c>
      <c r="J37" s="21">
        <v>1</v>
      </c>
      <c r="K37" s="21">
        <v>1</v>
      </c>
      <c r="L37" s="21">
        <v>0.77777777777777701</v>
      </c>
    </row>
    <row r="38" spans="2:12" ht="15">
      <c r="B38" s="26" t="s">
        <v>110</v>
      </c>
      <c r="C38" s="26"/>
      <c r="D38" s="26"/>
      <c r="E38" s="26"/>
      <c r="F38" s="26"/>
      <c r="G38" s="26"/>
      <c r="H38" s="26"/>
      <c r="I38" s="23" t="s">
        <v>232</v>
      </c>
      <c r="J38" s="26"/>
      <c r="K38" s="26"/>
      <c r="L38" s="27" t="s">
        <v>233</v>
      </c>
    </row>
  </sheetData>
  <mergeCells count="4">
    <mergeCell ref="C4:K14"/>
    <mergeCell ref="A4:A30"/>
    <mergeCell ref="A1:L1"/>
    <mergeCell ref="B32:L32"/>
  </mergeCells>
  <phoneticPr fontId="2"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27FB8-56D8-49B0-AE80-8EE09EEF3F39}">
  <dimension ref="A1:T29"/>
  <sheetViews>
    <sheetView zoomScale="120" zoomScaleNormal="120" workbookViewId="0">
      <selection activeCell="M20" sqref="M20"/>
    </sheetView>
  </sheetViews>
  <sheetFormatPr baseColWidth="10" defaultColWidth="8.83203125" defaultRowHeight="14"/>
  <cols>
    <col min="1" max="1" width="5.5" style="1" bestFit="1" customWidth="1"/>
    <col min="2" max="2" width="9.33203125" style="1" bestFit="1" customWidth="1"/>
    <col min="3" max="3" width="7.33203125" style="34" bestFit="1" customWidth="1"/>
    <col min="4" max="4" width="12.5" style="1" bestFit="1" customWidth="1"/>
    <col min="5" max="5" width="10.1640625" style="34" bestFit="1" customWidth="1"/>
    <col min="6" max="6" width="8.5" style="1" bestFit="1" customWidth="1"/>
    <col min="7" max="7" width="7.1640625" style="1" bestFit="1" customWidth="1"/>
    <col min="8" max="8" width="9.83203125" style="34" bestFit="1" customWidth="1"/>
    <col min="9" max="9" width="7.83203125" style="1" bestFit="1" customWidth="1"/>
    <col min="10" max="10" width="10.5" style="34" bestFit="1" customWidth="1"/>
    <col min="11" max="11" width="2.1640625" style="1" customWidth="1"/>
    <col min="12" max="12" width="11.83203125" style="1" bestFit="1" customWidth="1"/>
    <col min="13" max="13" width="8.83203125" style="35" bestFit="1" customWidth="1"/>
    <col min="14" max="14" width="14.1640625" style="1" bestFit="1" customWidth="1"/>
    <col min="15" max="15" width="6.83203125" style="35" bestFit="1" customWidth="1"/>
    <col min="16" max="16" width="10.1640625" style="1" bestFit="1" customWidth="1"/>
    <col min="17" max="17" width="7.1640625" style="1" bestFit="1" customWidth="1"/>
    <col min="18" max="18" width="11.5" style="35" bestFit="1" customWidth="1"/>
    <col min="19" max="19" width="9.5" style="1" bestFit="1" customWidth="1"/>
    <col min="20" max="20" width="12.33203125" style="35" bestFit="1" customWidth="1"/>
    <col min="21" max="16384" width="8.83203125" style="1"/>
  </cols>
  <sheetData>
    <row r="1" spans="1:20">
      <c r="A1" s="155" t="s">
        <v>164</v>
      </c>
      <c r="B1" s="155"/>
      <c r="C1" s="155"/>
      <c r="D1" s="155"/>
      <c r="E1" s="155"/>
      <c r="F1" s="155"/>
      <c r="G1" s="155"/>
      <c r="H1" s="155"/>
      <c r="I1" s="155"/>
      <c r="J1" s="155"/>
      <c r="K1" s="155"/>
      <c r="L1" s="155"/>
      <c r="M1" s="155"/>
      <c r="N1" s="155"/>
      <c r="O1" s="155"/>
      <c r="P1" s="155"/>
      <c r="Q1" s="155"/>
      <c r="R1" s="155"/>
      <c r="S1" s="155"/>
      <c r="T1" s="155"/>
    </row>
    <row r="2" spans="1:20">
      <c r="A2" s="6" t="s">
        <v>0</v>
      </c>
      <c r="B2" s="18" t="s">
        <v>71</v>
      </c>
      <c r="C2" s="6" t="s">
        <v>19</v>
      </c>
      <c r="D2" s="6" t="s">
        <v>73</v>
      </c>
      <c r="E2" s="6" t="s">
        <v>17</v>
      </c>
      <c r="F2" s="6" t="s">
        <v>22</v>
      </c>
      <c r="G2" s="6" t="s">
        <v>5</v>
      </c>
      <c r="H2" s="6" t="s">
        <v>35</v>
      </c>
      <c r="I2" s="6" t="s">
        <v>36</v>
      </c>
      <c r="J2" s="6" t="s">
        <v>103</v>
      </c>
      <c r="K2" s="36"/>
      <c r="L2" s="18" t="s">
        <v>75</v>
      </c>
      <c r="M2" s="6" t="s">
        <v>76</v>
      </c>
      <c r="N2" s="6" t="s">
        <v>77</v>
      </c>
      <c r="O2" s="6" t="s">
        <v>23</v>
      </c>
      <c r="P2" s="6" t="s">
        <v>24</v>
      </c>
      <c r="Q2" s="6" t="s">
        <v>25</v>
      </c>
      <c r="R2" s="6" t="s">
        <v>38</v>
      </c>
      <c r="S2" s="6" t="s">
        <v>39</v>
      </c>
      <c r="T2" s="6" t="s">
        <v>104</v>
      </c>
    </row>
    <row r="3" spans="1:20" ht="15" customHeight="1">
      <c r="A3" s="9">
        <v>2009</v>
      </c>
      <c r="B3" s="132" t="s">
        <v>108</v>
      </c>
      <c r="C3" s="133"/>
      <c r="D3" s="133"/>
      <c r="E3" s="133"/>
      <c r="F3" s="133"/>
      <c r="G3" s="133"/>
      <c r="H3" s="133"/>
      <c r="I3" s="133"/>
      <c r="J3" s="134"/>
      <c r="L3" s="146" t="s">
        <v>108</v>
      </c>
      <c r="M3" s="147"/>
      <c r="N3" s="147"/>
      <c r="O3" s="147"/>
      <c r="P3" s="147"/>
      <c r="Q3" s="147"/>
      <c r="R3" s="147"/>
      <c r="S3" s="147"/>
      <c r="T3" s="148"/>
    </row>
    <row r="4" spans="1:20">
      <c r="A4" s="9">
        <v>2010</v>
      </c>
      <c r="B4" s="135"/>
      <c r="C4" s="136"/>
      <c r="D4" s="136"/>
      <c r="E4" s="136"/>
      <c r="F4" s="136"/>
      <c r="G4" s="136"/>
      <c r="H4" s="136"/>
      <c r="I4" s="136"/>
      <c r="J4" s="137"/>
      <c r="L4" s="149"/>
      <c r="M4" s="150"/>
      <c r="N4" s="150"/>
      <c r="O4" s="150"/>
      <c r="P4" s="150"/>
      <c r="Q4" s="150"/>
      <c r="R4" s="150"/>
      <c r="S4" s="150"/>
      <c r="T4" s="151"/>
    </row>
    <row r="5" spans="1:20">
      <c r="A5" s="9">
        <v>2011</v>
      </c>
      <c r="B5" s="135"/>
      <c r="C5" s="136"/>
      <c r="D5" s="136"/>
      <c r="E5" s="136"/>
      <c r="F5" s="136"/>
      <c r="G5" s="136"/>
      <c r="H5" s="136"/>
      <c r="I5" s="136"/>
      <c r="J5" s="137"/>
      <c r="L5" s="149"/>
      <c r="M5" s="150"/>
      <c r="N5" s="150"/>
      <c r="O5" s="150"/>
      <c r="P5" s="150"/>
      <c r="Q5" s="150"/>
      <c r="R5" s="150"/>
      <c r="S5" s="150"/>
      <c r="T5" s="151"/>
    </row>
    <row r="6" spans="1:20">
      <c r="A6" s="9">
        <v>2012</v>
      </c>
      <c r="B6" s="135"/>
      <c r="C6" s="136"/>
      <c r="D6" s="136"/>
      <c r="E6" s="136"/>
      <c r="F6" s="136"/>
      <c r="G6" s="136"/>
      <c r="H6" s="136"/>
      <c r="I6" s="136"/>
      <c r="J6" s="137"/>
      <c r="L6" s="149"/>
      <c r="M6" s="150"/>
      <c r="N6" s="150"/>
      <c r="O6" s="150"/>
      <c r="P6" s="150"/>
      <c r="Q6" s="150"/>
      <c r="R6" s="150"/>
      <c r="S6" s="150"/>
      <c r="T6" s="151"/>
    </row>
    <row r="7" spans="1:20">
      <c r="A7" s="9">
        <v>2013</v>
      </c>
      <c r="B7" s="135"/>
      <c r="C7" s="136"/>
      <c r="D7" s="136"/>
      <c r="E7" s="136"/>
      <c r="F7" s="136"/>
      <c r="G7" s="136"/>
      <c r="H7" s="136"/>
      <c r="I7" s="136"/>
      <c r="J7" s="137"/>
      <c r="L7" s="149"/>
      <c r="M7" s="150"/>
      <c r="N7" s="150"/>
      <c r="O7" s="150"/>
      <c r="P7" s="150"/>
      <c r="Q7" s="150"/>
      <c r="R7" s="150"/>
      <c r="S7" s="150"/>
      <c r="T7" s="151"/>
    </row>
    <row r="8" spans="1:20">
      <c r="A8" s="9">
        <v>2014</v>
      </c>
      <c r="B8" s="135"/>
      <c r="C8" s="136"/>
      <c r="D8" s="136"/>
      <c r="E8" s="136"/>
      <c r="F8" s="136"/>
      <c r="G8" s="136"/>
      <c r="H8" s="136"/>
      <c r="I8" s="136"/>
      <c r="J8" s="137"/>
      <c r="L8" s="149"/>
      <c r="M8" s="150"/>
      <c r="N8" s="150"/>
      <c r="O8" s="150"/>
      <c r="P8" s="150"/>
      <c r="Q8" s="150"/>
      <c r="R8" s="150"/>
      <c r="S8" s="150"/>
      <c r="T8" s="151"/>
    </row>
    <row r="9" spans="1:20">
      <c r="A9" s="9">
        <v>2015</v>
      </c>
      <c r="B9" s="135"/>
      <c r="C9" s="136"/>
      <c r="D9" s="136"/>
      <c r="E9" s="136"/>
      <c r="F9" s="136"/>
      <c r="G9" s="136"/>
      <c r="H9" s="136"/>
      <c r="I9" s="136"/>
      <c r="J9" s="137"/>
      <c r="L9" s="149"/>
      <c r="M9" s="150"/>
      <c r="N9" s="150"/>
      <c r="O9" s="150"/>
      <c r="P9" s="150"/>
      <c r="Q9" s="150"/>
      <c r="R9" s="150"/>
      <c r="S9" s="150"/>
      <c r="T9" s="151"/>
    </row>
    <row r="10" spans="1:20">
      <c r="A10" s="9">
        <v>2016</v>
      </c>
      <c r="B10" s="135"/>
      <c r="C10" s="136"/>
      <c r="D10" s="136"/>
      <c r="E10" s="136"/>
      <c r="F10" s="136"/>
      <c r="G10" s="136"/>
      <c r="H10" s="136"/>
      <c r="I10" s="136"/>
      <c r="J10" s="137"/>
      <c r="L10" s="149"/>
      <c r="M10" s="150"/>
      <c r="N10" s="150"/>
      <c r="O10" s="150"/>
      <c r="P10" s="150"/>
      <c r="Q10" s="150"/>
      <c r="R10" s="150"/>
      <c r="S10" s="150"/>
      <c r="T10" s="151"/>
    </row>
    <row r="11" spans="1:20">
      <c r="A11" s="9">
        <v>2017</v>
      </c>
      <c r="B11" s="135"/>
      <c r="C11" s="136"/>
      <c r="D11" s="136"/>
      <c r="E11" s="136"/>
      <c r="F11" s="136"/>
      <c r="G11" s="136"/>
      <c r="H11" s="136"/>
      <c r="I11" s="136"/>
      <c r="J11" s="137"/>
      <c r="L11" s="149"/>
      <c r="M11" s="150"/>
      <c r="N11" s="150"/>
      <c r="O11" s="150"/>
      <c r="P11" s="150"/>
      <c r="Q11" s="150"/>
      <c r="R11" s="150"/>
      <c r="S11" s="150"/>
      <c r="T11" s="151"/>
    </row>
    <row r="12" spans="1:20">
      <c r="A12" s="9">
        <v>2018</v>
      </c>
      <c r="B12" s="135"/>
      <c r="C12" s="136"/>
      <c r="D12" s="136"/>
      <c r="E12" s="136"/>
      <c r="F12" s="136"/>
      <c r="G12" s="136"/>
      <c r="H12" s="136"/>
      <c r="I12" s="136"/>
      <c r="J12" s="137"/>
      <c r="L12" s="149"/>
      <c r="M12" s="150"/>
      <c r="N12" s="150"/>
      <c r="O12" s="150"/>
      <c r="P12" s="150"/>
      <c r="Q12" s="150"/>
      <c r="R12" s="150"/>
      <c r="S12" s="150"/>
      <c r="T12" s="151"/>
    </row>
    <row r="13" spans="1:20">
      <c r="A13" s="9">
        <v>2019</v>
      </c>
      <c r="B13" s="138"/>
      <c r="C13" s="139"/>
      <c r="D13" s="139"/>
      <c r="E13" s="139"/>
      <c r="F13" s="139"/>
      <c r="G13" s="139"/>
      <c r="H13" s="139"/>
      <c r="I13" s="139"/>
      <c r="J13" s="140"/>
      <c r="L13" s="152"/>
      <c r="M13" s="153"/>
      <c r="N13" s="153"/>
      <c r="O13" s="153"/>
      <c r="P13" s="153"/>
      <c r="Q13" s="153"/>
      <c r="R13" s="153"/>
      <c r="S13" s="153"/>
      <c r="T13" s="154"/>
    </row>
    <row r="14" spans="1:20">
      <c r="A14" s="13">
        <v>2020</v>
      </c>
      <c r="B14" s="14">
        <v>302486.25665827998</v>
      </c>
      <c r="C14" s="15">
        <v>268.95070285000003</v>
      </c>
      <c r="D14" s="15">
        <v>83302.947837300002</v>
      </c>
      <c r="E14" s="15">
        <v>409049.90447156999</v>
      </c>
      <c r="F14" s="15">
        <v>1548.26179333</v>
      </c>
      <c r="G14" s="15">
        <v>18529.562266159999</v>
      </c>
      <c r="H14" s="15">
        <v>5971.4280757099996</v>
      </c>
      <c r="I14" s="15">
        <v>8659.34373615</v>
      </c>
      <c r="J14" s="15">
        <v>17095022.793503702</v>
      </c>
      <c r="L14" s="28">
        <f t="shared" ref="L14:L16" si="0">LN(B14)</f>
        <v>12.619791122886333</v>
      </c>
      <c r="M14" s="29">
        <f t="shared" ref="M14:M16" si="1">LN(C14)</f>
        <v>5.5945281020268611</v>
      </c>
      <c r="N14" s="28">
        <f t="shared" ref="N14:N29" si="2">LN(D14)</f>
        <v>11.330239215731668</v>
      </c>
      <c r="O14" s="29">
        <f t="shared" ref="O14:O29" si="3">LN(E14)</f>
        <v>12.921592443404522</v>
      </c>
      <c r="P14" s="28">
        <f t="shared" ref="P14:P29" si="4">LN(F14)</f>
        <v>7.3448881569892244</v>
      </c>
      <c r="Q14" s="28">
        <f t="shared" ref="Q14:Q16" si="5">LN(G14)</f>
        <v>9.8271226960192664</v>
      </c>
      <c r="R14" s="29">
        <f t="shared" ref="R14:R16" si="6">LN(H14)</f>
        <v>8.694741386442459</v>
      </c>
      <c r="S14" s="28">
        <f t="shared" ref="S14:S16" si="7">LN(I14)</f>
        <v>9.0663942176399175</v>
      </c>
      <c r="T14" s="29">
        <f t="shared" ref="T14:T16" si="8">LN(J14)</f>
        <v>16.654297914397951</v>
      </c>
    </row>
    <row r="15" spans="1:20">
      <c r="A15" s="13">
        <v>2021</v>
      </c>
      <c r="B15" s="14">
        <v>305549.38818284997</v>
      </c>
      <c r="C15" s="15">
        <v>269.4730639</v>
      </c>
      <c r="D15" s="15">
        <v>92061.482695529994</v>
      </c>
      <c r="E15" s="15">
        <v>463305.88803579001</v>
      </c>
      <c r="F15" s="15">
        <v>1795.92211582</v>
      </c>
      <c r="G15" s="15">
        <v>19412.44047895</v>
      </c>
      <c r="H15" s="15">
        <v>6114.5906983599998</v>
      </c>
      <c r="I15" s="15">
        <v>9144.7417066199996</v>
      </c>
      <c r="J15" s="15">
        <v>17549686.795710102</v>
      </c>
      <c r="L15" s="28">
        <f t="shared" si="0"/>
        <v>12.629866707973978</v>
      </c>
      <c r="M15" s="29">
        <f t="shared" si="1"/>
        <v>5.5964684369308699</v>
      </c>
      <c r="N15" s="28">
        <f t="shared" si="2"/>
        <v>11.430211922993546</v>
      </c>
      <c r="O15" s="29">
        <f t="shared" si="3"/>
        <v>13.046142780229205</v>
      </c>
      <c r="P15" s="28">
        <f t="shared" si="4"/>
        <v>7.493273882565493</v>
      </c>
      <c r="Q15" s="28">
        <f t="shared" si="5"/>
        <v>9.8736694013324744</v>
      </c>
      <c r="R15" s="29">
        <f t="shared" si="6"/>
        <v>8.7184331118434777</v>
      </c>
      <c r="S15" s="28">
        <f t="shared" si="7"/>
        <v>9.120934316207391</v>
      </c>
      <c r="T15" s="29">
        <f t="shared" si="8"/>
        <v>16.680546661318616</v>
      </c>
    </row>
    <row r="16" spans="1:20">
      <c r="A16" s="13">
        <v>2022</v>
      </c>
      <c r="B16" s="14">
        <v>308643.53855383</v>
      </c>
      <c r="C16" s="15">
        <v>269.99643949</v>
      </c>
      <c r="D16" s="15">
        <v>101740.89652449</v>
      </c>
      <c r="E16" s="15">
        <v>524758.33276609995</v>
      </c>
      <c r="F16" s="15">
        <v>2083.1982420499999</v>
      </c>
      <c r="G16" s="15">
        <v>20337.385197529999</v>
      </c>
      <c r="H16" s="15">
        <v>6261.1855881700003</v>
      </c>
      <c r="I16" s="15">
        <v>9657.3485738500003</v>
      </c>
      <c r="J16" s="15">
        <v>18016443.168742798</v>
      </c>
      <c r="L16" s="28">
        <f t="shared" si="0"/>
        <v>12.639942293061619</v>
      </c>
      <c r="M16" s="29">
        <f t="shared" si="1"/>
        <v>5.5984087718373505</v>
      </c>
      <c r="N16" s="28">
        <f t="shared" si="2"/>
        <v>11.530184630255466</v>
      </c>
      <c r="O16" s="29">
        <f t="shared" si="3"/>
        <v>13.170693117053895</v>
      </c>
      <c r="P16" s="28">
        <f t="shared" si="4"/>
        <v>7.6416596081438861</v>
      </c>
      <c r="Q16" s="28">
        <f t="shared" si="5"/>
        <v>9.9202161066449808</v>
      </c>
      <c r="R16" s="29">
        <f t="shared" si="6"/>
        <v>8.742124837243388</v>
      </c>
      <c r="S16" s="28">
        <f t="shared" si="7"/>
        <v>9.1754744147747456</v>
      </c>
      <c r="T16" s="29">
        <f t="shared" si="8"/>
        <v>16.706795408239284</v>
      </c>
    </row>
    <row r="17" spans="1:20">
      <c r="A17" s="13">
        <v>2023</v>
      </c>
      <c r="B17" s="14">
        <v>311769.02188403002</v>
      </c>
      <c r="C17" s="15">
        <v>270.52083159</v>
      </c>
      <c r="D17" s="15">
        <v>112438.01123474</v>
      </c>
      <c r="E17" s="15">
        <v>594361.77030882996</v>
      </c>
      <c r="F17" s="15">
        <v>2416.4271253500001</v>
      </c>
      <c r="G17" s="15">
        <v>21306.400765089998</v>
      </c>
      <c r="H17" s="15">
        <v>6411.2950324000003</v>
      </c>
      <c r="I17" s="15">
        <v>10198.689527709999</v>
      </c>
      <c r="J17" s="15">
        <v>18495613.524674501</v>
      </c>
      <c r="L17" s="28">
        <f t="shared" ref="L17:L29" si="9">LN(B17)</f>
        <v>12.650017878149274</v>
      </c>
      <c r="M17" s="29">
        <f t="shared" ref="M17:M29" si="10">LN(C17)</f>
        <v>5.6003491067445994</v>
      </c>
      <c r="N17" s="28">
        <f t="shared" si="2"/>
        <v>11.630157337517371</v>
      </c>
      <c r="O17" s="29">
        <f t="shared" si="3"/>
        <v>13.295243453878584</v>
      </c>
      <c r="P17" s="28">
        <f t="shared" si="4"/>
        <v>7.7900453337230173</v>
      </c>
      <c r="Q17" s="28">
        <f t="shared" ref="Q17:Q29" si="11">LN(G17)</f>
        <v>9.9667628119580982</v>
      </c>
      <c r="R17" s="29">
        <f t="shared" ref="R17:R29" si="12">LN(H17)</f>
        <v>8.7658165626444955</v>
      </c>
      <c r="S17" s="28">
        <f t="shared" ref="S17:S29" si="13">LN(I17)</f>
        <v>9.2300145133429083</v>
      </c>
      <c r="T17" s="29">
        <f t="shared" ref="T17:T29" si="14">LN(J17)</f>
        <v>16.733044155159945</v>
      </c>
    </row>
    <row r="18" spans="1:20">
      <c r="A18" s="13">
        <v>2024</v>
      </c>
      <c r="B18" s="14">
        <v>314926.15546710999</v>
      </c>
      <c r="C18" s="15">
        <v>271.04624217000003</v>
      </c>
      <c r="D18" s="15">
        <v>124259.82866565</v>
      </c>
      <c r="E18" s="15">
        <v>673197.34046434995</v>
      </c>
      <c r="F18" s="15">
        <v>2802.9593795999999</v>
      </c>
      <c r="G18" s="15">
        <v>22321.587025730001</v>
      </c>
      <c r="H18" s="15">
        <v>6565.0032910899999</v>
      </c>
      <c r="I18" s="15">
        <v>10770.375252289999</v>
      </c>
      <c r="J18" s="15">
        <v>18987528.029262699</v>
      </c>
      <c r="L18" s="28">
        <f t="shared" si="9"/>
        <v>12.660093463236905</v>
      </c>
      <c r="M18" s="29">
        <f t="shared" si="10"/>
        <v>5.6022894416368052</v>
      </c>
      <c r="N18" s="28">
        <f t="shared" si="2"/>
        <v>11.730130044779216</v>
      </c>
      <c r="O18" s="29">
        <f t="shared" si="3"/>
        <v>13.419793790703268</v>
      </c>
      <c r="P18" s="28">
        <f t="shared" si="4"/>
        <v>7.9384310593009522</v>
      </c>
      <c r="Q18" s="28">
        <f t="shared" si="11"/>
        <v>10.013309517270843</v>
      </c>
      <c r="R18" s="29">
        <f t="shared" si="12"/>
        <v>8.7895082880452247</v>
      </c>
      <c r="S18" s="28">
        <f t="shared" si="13"/>
        <v>9.2845546119102131</v>
      </c>
      <c r="T18" s="29">
        <f t="shared" si="14"/>
        <v>16.75929290208061</v>
      </c>
    </row>
    <row r="19" spans="1:20" s="32" customFormat="1">
      <c r="A19" s="30">
        <v>2025</v>
      </c>
      <c r="B19" s="31">
        <v>318115.25980984</v>
      </c>
      <c r="C19" s="15">
        <v>271.57267322000001</v>
      </c>
      <c r="D19" s="15">
        <v>137324.60091082999</v>
      </c>
      <c r="E19" s="15">
        <v>762489.58437012997</v>
      </c>
      <c r="F19" s="15">
        <v>3251.3214246299999</v>
      </c>
      <c r="G19" s="15">
        <v>23385.143874869998</v>
      </c>
      <c r="H19" s="15">
        <v>6722.3966443999998</v>
      </c>
      <c r="I19" s="15">
        <v>11374.10671831</v>
      </c>
      <c r="J19" s="15">
        <v>19492525.629445601</v>
      </c>
      <c r="L19" s="33">
        <f t="shared" si="9"/>
        <v>12.670169048324572</v>
      </c>
      <c r="M19" s="33">
        <f t="shared" si="10"/>
        <v>5.6042297765578057</v>
      </c>
      <c r="N19" s="33">
        <f t="shared" si="2"/>
        <v>11.830102752041151</v>
      </c>
      <c r="O19" s="33">
        <f t="shared" si="3"/>
        <v>13.544344127527955</v>
      </c>
      <c r="P19" s="33">
        <f t="shared" si="4"/>
        <v>8.0868167848814227</v>
      </c>
      <c r="Q19" s="33">
        <f t="shared" si="11"/>
        <v>10.059856222583651</v>
      </c>
      <c r="R19" s="33">
        <f t="shared" si="12"/>
        <v>8.8132000134469202</v>
      </c>
      <c r="S19" s="33">
        <f t="shared" si="13"/>
        <v>9.3390947104770277</v>
      </c>
      <c r="T19" s="33">
        <f t="shared" si="14"/>
        <v>16.785541649001278</v>
      </c>
    </row>
    <row r="20" spans="1:20">
      <c r="A20" s="13">
        <v>2026</v>
      </c>
      <c r="B20" s="14">
        <v>321336.65866457002</v>
      </c>
      <c r="C20" s="15">
        <v>272.10012670999998</v>
      </c>
      <c r="D20" s="15">
        <v>151763.01317829001</v>
      </c>
      <c r="E20" s="15">
        <v>863625.46511533996</v>
      </c>
      <c r="F20" s="15">
        <v>3771.4035683699999</v>
      </c>
      <c r="G20" s="15">
        <v>24499.376026360002</v>
      </c>
      <c r="H20" s="15">
        <v>6883.5634410000002</v>
      </c>
      <c r="I20" s="15">
        <v>12011.680244110001</v>
      </c>
      <c r="J20" s="15">
        <v>20010954.286888599</v>
      </c>
      <c r="L20" s="28">
        <f t="shared" si="9"/>
        <v>12.680244633412221</v>
      </c>
      <c r="M20" s="29">
        <f t="shared" si="10"/>
        <v>5.6061701114634763</v>
      </c>
      <c r="N20" s="28">
        <f t="shared" si="2"/>
        <v>11.930075459303</v>
      </c>
      <c r="O20" s="29">
        <f t="shared" si="3"/>
        <v>13.668894464352642</v>
      </c>
      <c r="P20" s="28">
        <f t="shared" si="4"/>
        <v>8.2352025104582545</v>
      </c>
      <c r="Q20" s="28">
        <f t="shared" si="11"/>
        <v>10.106402927896658</v>
      </c>
      <c r="R20" s="29">
        <f t="shared" si="12"/>
        <v>8.8368917388475392</v>
      </c>
      <c r="S20" s="28">
        <f t="shared" si="13"/>
        <v>9.3936348090444479</v>
      </c>
      <c r="T20" s="29">
        <f t="shared" si="14"/>
        <v>16.811790395921943</v>
      </c>
    </row>
    <row r="21" spans="1:20">
      <c r="A21" s="13">
        <v>2027</v>
      </c>
      <c r="B21" s="14">
        <v>324590.67906215001</v>
      </c>
      <c r="C21" s="15">
        <v>272.62860462999998</v>
      </c>
      <c r="D21" s="15">
        <v>167719.49101756999</v>
      </c>
      <c r="E21" s="15">
        <v>978175.91123136994</v>
      </c>
      <c r="F21" s="15">
        <v>4374.6781747900004</v>
      </c>
      <c r="G21" s="15">
        <v>25666.698006750001</v>
      </c>
      <c r="H21" s="15">
        <v>7048.5941477099996</v>
      </c>
      <c r="I21" s="15">
        <v>12684.992840319999</v>
      </c>
      <c r="J21" s="15">
        <v>20543171.217743099</v>
      </c>
      <c r="L21" s="28">
        <f t="shared" si="9"/>
        <v>12.690320218499847</v>
      </c>
      <c r="M21" s="29">
        <f t="shared" si="10"/>
        <v>5.6081104463692766</v>
      </c>
      <c r="N21" s="28">
        <f t="shared" si="2"/>
        <v>12.030048166564914</v>
      </c>
      <c r="O21" s="29">
        <f t="shared" si="3"/>
        <v>13.793444801177319</v>
      </c>
      <c r="P21" s="28">
        <f t="shared" si="4"/>
        <v>8.383588236038042</v>
      </c>
      <c r="Q21" s="28">
        <f t="shared" si="11"/>
        <v>10.152949633209174</v>
      </c>
      <c r="R21" s="29">
        <f t="shared" si="12"/>
        <v>8.8605834642488226</v>
      </c>
      <c r="S21" s="28">
        <f t="shared" si="13"/>
        <v>9.4481749076122536</v>
      </c>
      <c r="T21" s="29">
        <f t="shared" si="14"/>
        <v>16.838039142842607</v>
      </c>
    </row>
    <row r="22" spans="1:20">
      <c r="A22" s="13">
        <v>2028</v>
      </c>
      <c r="B22" s="14">
        <v>327877.65134513</v>
      </c>
      <c r="C22" s="15">
        <v>273.15810897</v>
      </c>
      <c r="D22" s="15">
        <v>185353.64498953999</v>
      </c>
      <c r="E22" s="15">
        <v>1107920.21769013</v>
      </c>
      <c r="F22" s="15">
        <v>5074.4527298700004</v>
      </c>
      <c r="G22" s="15">
        <v>26889.6393876</v>
      </c>
      <c r="H22" s="15">
        <v>7217.5814002300003</v>
      </c>
      <c r="I22" s="15">
        <v>13396.04785415</v>
      </c>
      <c r="J22" s="15">
        <v>21089543.138780799</v>
      </c>
      <c r="L22" s="28">
        <f t="shared" si="9"/>
        <v>12.700395803587504</v>
      </c>
      <c r="M22" s="29">
        <f t="shared" si="10"/>
        <v>5.6100507812764233</v>
      </c>
      <c r="N22" s="28">
        <f t="shared" si="2"/>
        <v>12.130020873826789</v>
      </c>
      <c r="O22" s="29">
        <f t="shared" si="3"/>
        <v>13.917995138002004</v>
      </c>
      <c r="P22" s="28">
        <f t="shared" si="4"/>
        <v>8.5319739616163996</v>
      </c>
      <c r="Q22" s="28">
        <f t="shared" si="11"/>
        <v>10.199496338522188</v>
      </c>
      <c r="R22" s="29">
        <f t="shared" si="12"/>
        <v>8.8842751896487613</v>
      </c>
      <c r="S22" s="28">
        <f t="shared" si="13"/>
        <v>9.5027150061792884</v>
      </c>
      <c r="T22" s="29">
        <f t="shared" si="14"/>
        <v>16.864287889763272</v>
      </c>
    </row>
    <row r="23" spans="1:20">
      <c r="A23" s="13">
        <v>2029</v>
      </c>
      <c r="B23" s="14">
        <v>331197.90920125</v>
      </c>
      <c r="C23" s="15">
        <v>273.68864172000002</v>
      </c>
      <c r="D23" s="15">
        <v>204841.86723003001</v>
      </c>
      <c r="E23" s="15">
        <v>1254873.68342708</v>
      </c>
      <c r="F23" s="15">
        <v>5886.1633882200003</v>
      </c>
      <c r="G23" s="15">
        <v>28170.85026694</v>
      </c>
      <c r="H23" s="15">
        <v>7390.6200552</v>
      </c>
      <c r="I23" s="15">
        <v>14146.960930110001</v>
      </c>
      <c r="J23" s="15">
        <v>21650446.520075299</v>
      </c>
      <c r="L23" s="28">
        <f t="shared" si="9"/>
        <v>12.710471388675158</v>
      </c>
      <c r="M23" s="29">
        <f t="shared" si="10"/>
        <v>5.6119911161720069</v>
      </c>
      <c r="N23" s="28">
        <f t="shared" si="2"/>
        <v>12.22999358108869</v>
      </c>
      <c r="O23" s="29">
        <f t="shared" si="3"/>
        <v>14.04254547482669</v>
      </c>
      <c r="P23" s="28">
        <f t="shared" si="4"/>
        <v>8.6803596871951019</v>
      </c>
      <c r="Q23" s="28">
        <f t="shared" si="11"/>
        <v>10.246043043834858</v>
      </c>
      <c r="R23" s="29">
        <f t="shared" si="12"/>
        <v>8.9079669150503271</v>
      </c>
      <c r="S23" s="28">
        <f t="shared" si="13"/>
        <v>9.5572551047466305</v>
      </c>
      <c r="T23" s="29">
        <f t="shared" si="14"/>
        <v>16.89053663668394</v>
      </c>
    </row>
    <row r="24" spans="1:20">
      <c r="A24" s="13">
        <v>2030</v>
      </c>
      <c r="B24" s="14">
        <v>334551.78969735</v>
      </c>
      <c r="C24" s="15">
        <v>274.22020487999998</v>
      </c>
      <c r="D24" s="15">
        <v>226379.09587724999</v>
      </c>
      <c r="E24" s="15">
        <v>1421318.9146786199</v>
      </c>
      <c r="F24" s="15">
        <v>6827.7154753799996</v>
      </c>
      <c r="G24" s="15">
        <v>29513.10701208</v>
      </c>
      <c r="H24" s="15">
        <v>7567.8072433699999</v>
      </c>
      <c r="I24" s="15">
        <v>14939.96630477</v>
      </c>
      <c r="J24" s="15">
        <v>22226267.8444032</v>
      </c>
      <c r="L24" s="28">
        <f t="shared" si="9"/>
        <v>12.720546973762788</v>
      </c>
      <c r="M24" s="29">
        <f t="shared" si="10"/>
        <v>5.6139314510655645</v>
      </c>
      <c r="N24" s="28">
        <f t="shared" si="2"/>
        <v>12.32996628835058</v>
      </c>
      <c r="O24" s="29">
        <f t="shared" si="3"/>
        <v>14.167095811651372</v>
      </c>
      <c r="P24" s="28">
        <f t="shared" si="4"/>
        <v>8.828745412773694</v>
      </c>
      <c r="Q24" s="28">
        <f t="shared" si="11"/>
        <v>10.292589749147689</v>
      </c>
      <c r="R24" s="29">
        <f t="shared" si="12"/>
        <v>8.9316586404509533</v>
      </c>
      <c r="S24" s="28">
        <f t="shared" si="13"/>
        <v>9.6117952033141183</v>
      </c>
      <c r="T24" s="29">
        <f t="shared" si="14"/>
        <v>16.916785383604598</v>
      </c>
    </row>
    <row r="25" spans="1:20">
      <c r="A25" s="13">
        <v>2031</v>
      </c>
      <c r="B25" s="14">
        <v>337939.63331360999</v>
      </c>
      <c r="C25" s="15">
        <v>274.75280046</v>
      </c>
      <c r="D25" s="15">
        <v>250180.76501251999</v>
      </c>
      <c r="E25" s="15">
        <v>1609841.2803639099</v>
      </c>
      <c r="F25" s="15">
        <v>7919.8784569999998</v>
      </c>
      <c r="G25" s="15">
        <v>30919.318275909998</v>
      </c>
      <c r="H25" s="15">
        <v>7749.2424241899998</v>
      </c>
      <c r="I25" s="15">
        <v>15777.42345443</v>
      </c>
      <c r="J25" s="15">
        <v>22817403.873545501</v>
      </c>
      <c r="L25" s="28">
        <f t="shared" si="9"/>
        <v>12.730622558850461</v>
      </c>
      <c r="M25" s="29">
        <f t="shared" si="10"/>
        <v>5.615871785988837</v>
      </c>
      <c r="N25" s="28">
        <f t="shared" si="2"/>
        <v>12.429938995612487</v>
      </c>
      <c r="O25" s="29">
        <f t="shared" si="3"/>
        <v>14.29164614847606</v>
      </c>
      <c r="P25" s="28">
        <f t="shared" si="4"/>
        <v>8.9771311383523322</v>
      </c>
      <c r="Q25" s="28">
        <f t="shared" si="11"/>
        <v>10.339136454460562</v>
      </c>
      <c r="R25" s="29">
        <f t="shared" si="12"/>
        <v>8.9553503658519631</v>
      </c>
      <c r="S25" s="28">
        <f t="shared" si="13"/>
        <v>9.6663353018814213</v>
      </c>
      <c r="T25" s="29">
        <f t="shared" si="14"/>
        <v>16.94303413052527</v>
      </c>
    </row>
    <row r="26" spans="1:20">
      <c r="A26" s="13">
        <v>2032</v>
      </c>
      <c r="B26" s="14">
        <v>341361.78397803998</v>
      </c>
      <c r="C26" s="15">
        <v>275.28643045000001</v>
      </c>
      <c r="D26" s="15">
        <v>276484.95961918001</v>
      </c>
      <c r="E26" s="15">
        <v>1823369.0702341001</v>
      </c>
      <c r="F26" s="15">
        <v>9186.7440873699998</v>
      </c>
      <c r="G26" s="15">
        <v>32392.53129993</v>
      </c>
      <c r="H26" s="15">
        <v>7935.0274415900003</v>
      </c>
      <c r="I26" s="15">
        <v>16661.824115430001</v>
      </c>
      <c r="J26" s="15">
        <v>23424261.921669699</v>
      </c>
      <c r="L26" s="28">
        <f t="shared" si="9"/>
        <v>12.740698143938101</v>
      </c>
      <c r="M26" s="29">
        <f t="shared" si="10"/>
        <v>5.6178121208865459</v>
      </c>
      <c r="N26" s="28">
        <f t="shared" si="2"/>
        <v>12.529911702874363</v>
      </c>
      <c r="O26" s="29">
        <f t="shared" si="3"/>
        <v>14.416196485300741</v>
      </c>
      <c r="P26" s="28">
        <f t="shared" si="4"/>
        <v>9.125516863931594</v>
      </c>
      <c r="Q26" s="28">
        <f t="shared" si="11"/>
        <v>10.385683159773395</v>
      </c>
      <c r="R26" s="29">
        <f t="shared" si="12"/>
        <v>8.9790420912519462</v>
      </c>
      <c r="S26" s="28">
        <f t="shared" si="13"/>
        <v>9.7208754004492501</v>
      </c>
      <c r="T26" s="29">
        <f t="shared" si="14"/>
        <v>16.969282877445931</v>
      </c>
    </row>
    <row r="27" spans="1:20">
      <c r="A27" s="13">
        <v>2033</v>
      </c>
      <c r="B27" s="14">
        <v>344818.58910148003</v>
      </c>
      <c r="C27" s="15">
        <v>275.82109687000002</v>
      </c>
      <c r="D27" s="15">
        <v>305554.79711558</v>
      </c>
      <c r="E27" s="15">
        <v>2065218.9795597901</v>
      </c>
      <c r="F27" s="15">
        <v>10656.257843470001</v>
      </c>
      <c r="G27" s="15">
        <v>33935.938517590002</v>
      </c>
      <c r="H27" s="15">
        <v>8125.2665811999996</v>
      </c>
      <c r="I27" s="15">
        <v>17595.799697909999</v>
      </c>
      <c r="J27" s="15">
        <v>24047260.1359853</v>
      </c>
      <c r="L27" s="28">
        <f t="shared" si="9"/>
        <v>12.750773729025745</v>
      </c>
      <c r="M27" s="29">
        <f t="shared" si="10"/>
        <v>5.6197524557984906</v>
      </c>
      <c r="N27" s="28">
        <f t="shared" si="2"/>
        <v>12.629884410136262</v>
      </c>
      <c r="O27" s="29">
        <f t="shared" si="3"/>
        <v>14.540746822125428</v>
      </c>
      <c r="P27" s="28">
        <f t="shared" si="4"/>
        <v>9.2739025895097615</v>
      </c>
      <c r="Q27" s="28">
        <f t="shared" si="11"/>
        <v>10.432229865086356</v>
      </c>
      <c r="R27" s="29">
        <f t="shared" si="12"/>
        <v>9.0027338166535475</v>
      </c>
      <c r="S27" s="28">
        <f t="shared" si="13"/>
        <v>9.7754154990161179</v>
      </c>
      <c r="T27" s="29">
        <f t="shared" si="14"/>
        <v>16.995531624366595</v>
      </c>
    </row>
    <row r="28" spans="1:20">
      <c r="A28" s="13">
        <v>2034</v>
      </c>
      <c r="B28" s="14">
        <v>348310.39961282001</v>
      </c>
      <c r="C28" s="15">
        <v>276.35680172999997</v>
      </c>
      <c r="D28" s="15">
        <v>337681.05928415997</v>
      </c>
      <c r="E28" s="15">
        <v>2339147.6268632598</v>
      </c>
      <c r="F28" s="15">
        <v>12360.83536741</v>
      </c>
      <c r="G28" s="15">
        <v>35552.884472229998</v>
      </c>
      <c r="H28" s="15">
        <v>8320.0666288100001</v>
      </c>
      <c r="I28" s="15">
        <v>18582.129115290001</v>
      </c>
      <c r="J28" s="15">
        <v>24686827.784861401</v>
      </c>
      <c r="L28" s="28">
        <f t="shared" si="9"/>
        <v>12.760849314113399</v>
      </c>
      <c r="M28" s="29">
        <f t="shared" si="10"/>
        <v>5.6216927907138539</v>
      </c>
      <c r="N28" s="28">
        <f t="shared" si="2"/>
        <v>12.729857117398154</v>
      </c>
      <c r="O28" s="29">
        <f t="shared" si="3"/>
        <v>14.665297158950109</v>
      </c>
      <c r="P28" s="28">
        <f t="shared" si="4"/>
        <v>9.4222883150878598</v>
      </c>
      <c r="Q28" s="28">
        <f t="shared" si="11"/>
        <v>10.478776570399193</v>
      </c>
      <c r="R28" s="29">
        <f t="shared" si="12"/>
        <v>9.0264255420536212</v>
      </c>
      <c r="S28" s="28">
        <f t="shared" si="13"/>
        <v>9.8299555975836395</v>
      </c>
      <c r="T28" s="29">
        <f t="shared" si="14"/>
        <v>17.02178037128726</v>
      </c>
    </row>
    <row r="29" spans="1:20">
      <c r="A29" s="13">
        <v>2035</v>
      </c>
      <c r="B29" s="14">
        <v>351837.56999463</v>
      </c>
      <c r="C29" s="15">
        <v>276.89354703999999</v>
      </c>
      <c r="D29" s="15">
        <v>373185.10092360998</v>
      </c>
      <c r="E29" s="15">
        <v>2649409.9049130101</v>
      </c>
      <c r="F29" s="15">
        <v>14338.07751508</v>
      </c>
      <c r="G29" s="15">
        <v>37246.87306469</v>
      </c>
      <c r="H29" s="15">
        <v>8519.5369303999996</v>
      </c>
      <c r="I29" s="15">
        <v>19623.747052449999</v>
      </c>
      <c r="J29" s="15">
        <v>25343405.553608801</v>
      </c>
      <c r="L29" s="28">
        <f t="shared" si="9"/>
        <v>12.770924899201043</v>
      </c>
      <c r="M29" s="29">
        <f t="shared" si="10"/>
        <v>5.6236331256077863</v>
      </c>
      <c r="N29" s="28">
        <f t="shared" si="2"/>
        <v>12.829829824660036</v>
      </c>
      <c r="O29" s="29">
        <f t="shared" si="3"/>
        <v>14.789847495774797</v>
      </c>
      <c r="P29" s="28">
        <f t="shared" si="4"/>
        <v>9.5706740406668604</v>
      </c>
      <c r="Q29" s="28">
        <f t="shared" si="11"/>
        <v>10.525323275712083</v>
      </c>
      <c r="R29" s="29">
        <f t="shared" si="12"/>
        <v>9.0501172674542794</v>
      </c>
      <c r="S29" s="28">
        <f t="shared" si="13"/>
        <v>9.8844956961513191</v>
      </c>
      <c r="T29" s="29">
        <f t="shared" si="14"/>
        <v>17.048029118207925</v>
      </c>
    </row>
  </sheetData>
  <mergeCells count="3">
    <mergeCell ref="B3:J13"/>
    <mergeCell ref="L3:T13"/>
    <mergeCell ref="A1:T1"/>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82BBA-7BF8-481D-BCC2-3F4BCD4A3A85}">
  <dimension ref="A1:F17"/>
  <sheetViews>
    <sheetView tabSelected="1" zoomScale="120" zoomScaleNormal="120" workbookViewId="0">
      <selection activeCell="F25" sqref="F25"/>
    </sheetView>
  </sheetViews>
  <sheetFormatPr baseColWidth="10" defaultColWidth="8.83203125" defaultRowHeight="14"/>
  <cols>
    <col min="1" max="6" width="20.33203125" style="1" customWidth="1"/>
    <col min="7" max="16384" width="8.83203125" style="1"/>
  </cols>
  <sheetData>
    <row r="1" spans="1:6">
      <c r="A1" s="156" t="s">
        <v>178</v>
      </c>
      <c r="B1" s="157"/>
      <c r="C1" s="157"/>
      <c r="D1" s="157"/>
      <c r="E1" s="158"/>
    </row>
    <row r="2" spans="1:6">
      <c r="A2" s="163" t="s">
        <v>174</v>
      </c>
      <c r="B2" s="164" t="s">
        <v>175</v>
      </c>
      <c r="C2" s="164" t="s">
        <v>167</v>
      </c>
      <c r="D2" s="165" t="s">
        <v>176</v>
      </c>
      <c r="E2" s="166"/>
    </row>
    <row r="3" spans="1:6">
      <c r="A3" s="163"/>
      <c r="B3" s="164"/>
      <c r="C3" s="164"/>
      <c r="D3" s="40" t="s">
        <v>26</v>
      </c>
      <c r="E3" s="40" t="s">
        <v>168</v>
      </c>
    </row>
    <row r="4" spans="1:6">
      <c r="A4" s="41" t="s">
        <v>169</v>
      </c>
      <c r="B4" s="185">
        <v>1</v>
      </c>
      <c r="C4" s="42" t="s">
        <v>179</v>
      </c>
      <c r="D4" s="43">
        <v>59569.81</v>
      </c>
      <c r="E4" s="43" t="s">
        <v>180</v>
      </c>
    </row>
    <row r="5" spans="1:6">
      <c r="A5" s="41" t="s">
        <v>150</v>
      </c>
      <c r="B5" s="185">
        <v>1</v>
      </c>
      <c r="C5" s="42">
        <v>1739.32</v>
      </c>
      <c r="D5" s="43">
        <v>26217.32</v>
      </c>
      <c r="E5" s="43" t="s">
        <v>180</v>
      </c>
    </row>
    <row r="7" spans="1:6">
      <c r="A7" s="156" t="s">
        <v>177</v>
      </c>
      <c r="B7" s="157"/>
      <c r="C7" s="157"/>
      <c r="D7" s="157"/>
      <c r="E7" s="157"/>
      <c r="F7" s="158"/>
    </row>
    <row r="8" spans="1:6" ht="15" customHeight="1">
      <c r="A8" s="161" t="s">
        <v>166</v>
      </c>
      <c r="B8" s="161"/>
      <c r="C8" s="159" t="s">
        <v>28</v>
      </c>
      <c r="D8" s="159" t="s">
        <v>167</v>
      </c>
      <c r="E8" s="159" t="s">
        <v>27</v>
      </c>
      <c r="F8" s="159" t="s">
        <v>168</v>
      </c>
    </row>
    <row r="9" spans="1:6" ht="15">
      <c r="A9" s="37" t="s">
        <v>227</v>
      </c>
      <c r="B9" s="37" t="s">
        <v>130</v>
      </c>
      <c r="C9" s="160"/>
      <c r="D9" s="160"/>
      <c r="E9" s="160"/>
      <c r="F9" s="160"/>
    </row>
    <row r="10" spans="1:6" ht="15">
      <c r="A10" s="162" t="s">
        <v>169</v>
      </c>
      <c r="B10" s="38" t="s">
        <v>228</v>
      </c>
      <c r="C10" s="39">
        <v>0.15</v>
      </c>
      <c r="D10" s="39">
        <v>0.01</v>
      </c>
      <c r="E10" s="39">
        <v>15.59</v>
      </c>
      <c r="F10" s="39" t="s">
        <v>181</v>
      </c>
    </row>
    <row r="11" spans="1:6" ht="15">
      <c r="A11" s="162"/>
      <c r="B11" s="38" t="s">
        <v>170</v>
      </c>
      <c r="C11" s="39">
        <v>0.94</v>
      </c>
      <c r="D11" s="39">
        <v>0.05</v>
      </c>
      <c r="E11" s="39">
        <v>23.38</v>
      </c>
      <c r="F11" s="39" t="s">
        <v>181</v>
      </c>
    </row>
    <row r="12" spans="1:6" ht="15">
      <c r="A12" s="162"/>
      <c r="B12" s="38" t="s">
        <v>171</v>
      </c>
      <c r="C12" s="39">
        <v>-0.1</v>
      </c>
      <c r="D12" s="39">
        <v>0.01</v>
      </c>
      <c r="E12" s="39">
        <v>-17.02</v>
      </c>
      <c r="F12" s="39" t="s">
        <v>181</v>
      </c>
    </row>
    <row r="13" spans="1:6" ht="15">
      <c r="A13" s="162"/>
      <c r="B13" s="38" t="s">
        <v>172</v>
      </c>
      <c r="C13" s="39">
        <v>0.11</v>
      </c>
      <c r="D13" s="39">
        <v>0.02</v>
      </c>
      <c r="E13" s="39">
        <v>8.75</v>
      </c>
      <c r="F13" s="39" t="s">
        <v>181</v>
      </c>
    </row>
    <row r="14" spans="1:6" ht="15">
      <c r="A14" s="162"/>
      <c r="B14" s="38" t="s">
        <v>229</v>
      </c>
      <c r="C14" s="39">
        <v>-0.02</v>
      </c>
      <c r="D14" s="39">
        <v>0.01</v>
      </c>
      <c r="E14" s="39">
        <v>-3.97</v>
      </c>
      <c r="F14" s="39" t="s">
        <v>181</v>
      </c>
    </row>
    <row r="15" spans="1:6" ht="15">
      <c r="A15" s="162"/>
      <c r="B15" s="38" t="s">
        <v>173</v>
      </c>
      <c r="C15" s="39">
        <v>-0.05</v>
      </c>
      <c r="D15" s="39">
        <v>0.02</v>
      </c>
      <c r="E15" s="39">
        <v>-3.75</v>
      </c>
      <c r="F15" s="39">
        <v>1E-3</v>
      </c>
    </row>
    <row r="16" spans="1:6" ht="15">
      <c r="A16" s="162" t="s">
        <v>150</v>
      </c>
      <c r="B16" s="38" t="s">
        <v>60</v>
      </c>
      <c r="C16" s="39">
        <v>-3935.99</v>
      </c>
      <c r="D16" s="39">
        <v>644.67999999999995</v>
      </c>
      <c r="E16" s="39">
        <v>-6.11</v>
      </c>
      <c r="F16" s="39" t="s">
        <v>181</v>
      </c>
    </row>
    <row r="17" spans="1:6" ht="15">
      <c r="A17" s="162"/>
      <c r="B17" s="38" t="s">
        <v>61</v>
      </c>
      <c r="C17" s="39">
        <v>3232.11</v>
      </c>
      <c r="D17" s="39">
        <v>240.1</v>
      </c>
      <c r="E17" s="39">
        <v>13.46</v>
      </c>
      <c r="F17" s="39" t="s">
        <v>181</v>
      </c>
    </row>
  </sheetData>
  <mergeCells count="13">
    <mergeCell ref="A10:A15"/>
    <mergeCell ref="A16:A17"/>
    <mergeCell ref="A7:F7"/>
    <mergeCell ref="A2:A3"/>
    <mergeCell ref="B2:B3"/>
    <mergeCell ref="C2:C3"/>
    <mergeCell ref="D2:E2"/>
    <mergeCell ref="A1:E1"/>
    <mergeCell ref="C8:C9"/>
    <mergeCell ref="D8:D9"/>
    <mergeCell ref="E8:E9"/>
    <mergeCell ref="F8:F9"/>
    <mergeCell ref="A8:B8"/>
  </mergeCells>
  <phoneticPr fontId="2"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2923C-6582-4C83-A367-C6BC1711FD60}">
  <dimension ref="A1:K36"/>
  <sheetViews>
    <sheetView zoomScale="130" zoomScaleNormal="130" workbookViewId="0">
      <selection activeCell="B24" sqref="B24"/>
    </sheetView>
  </sheetViews>
  <sheetFormatPr baseColWidth="10" defaultColWidth="9.1640625" defaultRowHeight="13"/>
  <cols>
    <col min="1" max="1" width="14.5" style="2" bestFit="1" customWidth="1"/>
    <col min="2" max="2" width="40" style="2" customWidth="1"/>
    <col min="3" max="3" width="21" style="2" bestFit="1" customWidth="1"/>
    <col min="4" max="4" width="3.1640625" style="2" customWidth="1"/>
    <col min="5" max="5" width="46.33203125" style="2" bestFit="1" customWidth="1"/>
    <col min="6" max="6" width="19.1640625" style="2" bestFit="1" customWidth="1"/>
    <col min="7" max="7" width="4.1640625" style="2" customWidth="1"/>
    <col min="8" max="9" width="9.1640625" style="2"/>
    <col min="10" max="10" width="11.6640625" style="2" bestFit="1" customWidth="1"/>
    <col min="11" max="11" width="8.83203125" style="2" customWidth="1"/>
    <col min="12" max="16384" width="9.1640625" style="2"/>
  </cols>
  <sheetData>
    <row r="1" spans="1:8">
      <c r="A1" s="168" t="s">
        <v>202</v>
      </c>
      <c r="B1" s="168"/>
      <c r="C1" s="168"/>
      <c r="D1" s="168"/>
      <c r="E1" s="168"/>
      <c r="F1" s="168"/>
      <c r="G1" s="168"/>
      <c r="H1" s="168"/>
    </row>
    <row r="2" spans="1:8" ht="15" customHeight="1">
      <c r="A2" s="172" t="s">
        <v>198</v>
      </c>
      <c r="B2" s="127" t="s">
        <v>195</v>
      </c>
      <c r="C2" s="127"/>
      <c r="D2" s="169"/>
      <c r="E2" s="127" t="s">
        <v>196</v>
      </c>
      <c r="F2" s="127"/>
      <c r="G2" s="169"/>
      <c r="H2" s="127" t="s">
        <v>197</v>
      </c>
    </row>
    <row r="3" spans="1:8" s="8" customFormat="1" ht="28">
      <c r="A3" s="172"/>
      <c r="B3" s="3" t="s">
        <v>194</v>
      </c>
      <c r="C3" s="3" t="s">
        <v>193</v>
      </c>
      <c r="D3" s="170"/>
      <c r="E3" s="3" t="s">
        <v>194</v>
      </c>
      <c r="F3" s="3" t="s">
        <v>193</v>
      </c>
      <c r="G3" s="170"/>
      <c r="H3" s="127"/>
    </row>
    <row r="4" spans="1:8" ht="13" customHeight="1">
      <c r="A4" s="76" t="s">
        <v>78</v>
      </c>
      <c r="B4" s="171" t="s">
        <v>108</v>
      </c>
      <c r="C4" s="76">
        <v>1</v>
      </c>
      <c r="D4" s="173"/>
      <c r="E4" s="171" t="s">
        <v>108</v>
      </c>
      <c r="F4" s="76">
        <v>0</v>
      </c>
      <c r="G4" s="176"/>
      <c r="H4" s="77"/>
    </row>
    <row r="5" spans="1:8">
      <c r="A5" s="76" t="s">
        <v>79</v>
      </c>
      <c r="B5" s="171"/>
      <c r="C5" s="76">
        <v>1</v>
      </c>
      <c r="D5" s="174"/>
      <c r="E5" s="171"/>
      <c r="F5" s="76">
        <v>0</v>
      </c>
      <c r="G5" s="177"/>
      <c r="H5" s="77"/>
    </row>
    <row r="6" spans="1:8">
      <c r="A6" s="76" t="s">
        <v>80</v>
      </c>
      <c r="B6" s="171"/>
      <c r="C6" s="76">
        <v>1</v>
      </c>
      <c r="D6" s="174"/>
      <c r="E6" s="171"/>
      <c r="F6" s="76">
        <v>1</v>
      </c>
      <c r="G6" s="177"/>
      <c r="H6" s="77"/>
    </row>
    <row r="7" spans="1:8">
      <c r="A7" s="76" t="s">
        <v>81</v>
      </c>
      <c r="B7" s="171"/>
      <c r="C7" s="76">
        <v>0</v>
      </c>
      <c r="D7" s="174"/>
      <c r="E7" s="171"/>
      <c r="F7" s="76">
        <v>1</v>
      </c>
      <c r="G7" s="177"/>
      <c r="H7" s="77"/>
    </row>
    <row r="8" spans="1:8">
      <c r="A8" s="76" t="s">
        <v>82</v>
      </c>
      <c r="B8" s="171"/>
      <c r="C8" s="76">
        <v>0</v>
      </c>
      <c r="D8" s="174"/>
      <c r="E8" s="171"/>
      <c r="F8" s="76">
        <v>1</v>
      </c>
      <c r="G8" s="177"/>
      <c r="H8" s="77"/>
    </row>
    <row r="9" spans="1:8">
      <c r="A9" s="76" t="s">
        <v>83</v>
      </c>
      <c r="B9" s="171"/>
      <c r="C9" s="76">
        <v>0</v>
      </c>
      <c r="D9" s="174"/>
      <c r="E9" s="171"/>
      <c r="F9" s="76">
        <v>0</v>
      </c>
      <c r="G9" s="177"/>
      <c r="H9" s="77"/>
    </row>
    <row r="10" spans="1:8">
      <c r="A10" s="76" t="s">
        <v>84</v>
      </c>
      <c r="B10" s="171"/>
      <c r="C10" s="76">
        <v>0</v>
      </c>
      <c r="D10" s="174"/>
      <c r="E10" s="171"/>
      <c r="F10" s="76">
        <v>0</v>
      </c>
      <c r="G10" s="177"/>
      <c r="H10" s="77"/>
    </row>
    <row r="11" spans="1:8">
      <c r="A11" s="76" t="s">
        <v>85</v>
      </c>
      <c r="B11" s="171"/>
      <c r="C11" s="76">
        <v>0</v>
      </c>
      <c r="D11" s="174"/>
      <c r="E11" s="171"/>
      <c r="F11" s="76">
        <v>0</v>
      </c>
      <c r="G11" s="177"/>
      <c r="H11" s="77"/>
    </row>
    <row r="12" spans="1:8">
      <c r="A12" s="76" t="s">
        <v>86</v>
      </c>
      <c r="B12" s="171"/>
      <c r="C12" s="76">
        <v>0</v>
      </c>
      <c r="D12" s="174"/>
      <c r="E12" s="171"/>
      <c r="F12" s="76">
        <v>1</v>
      </c>
      <c r="G12" s="177"/>
      <c r="H12" s="77"/>
    </row>
    <row r="13" spans="1:8">
      <c r="A13" s="76" t="s">
        <v>88</v>
      </c>
      <c r="B13" s="171"/>
      <c r="C13" s="76">
        <v>0</v>
      </c>
      <c r="D13" s="174"/>
      <c r="E13" s="171"/>
      <c r="F13" s="76">
        <v>0</v>
      </c>
      <c r="G13" s="177"/>
      <c r="H13" s="77"/>
    </row>
    <row r="14" spans="1:8">
      <c r="A14" s="78" t="s">
        <v>87</v>
      </c>
      <c r="B14" s="78">
        <v>121.4</v>
      </c>
      <c r="C14" s="78"/>
      <c r="D14" s="174"/>
      <c r="E14" s="78">
        <v>82.6</v>
      </c>
      <c r="F14" s="78"/>
      <c r="G14" s="177"/>
      <c r="H14" s="79">
        <v>-38.799999999999997</v>
      </c>
    </row>
    <row r="15" spans="1:8">
      <c r="A15" s="78" t="s">
        <v>190</v>
      </c>
      <c r="B15" s="78"/>
      <c r="C15" s="78">
        <v>3</v>
      </c>
      <c r="D15" s="175"/>
      <c r="E15" s="78"/>
      <c r="F15" s="78">
        <f>SUM(F4:F13)</f>
        <v>4</v>
      </c>
      <c r="G15" s="178"/>
      <c r="H15" s="79">
        <v>1</v>
      </c>
    </row>
    <row r="16" spans="1:8">
      <c r="A16" s="80"/>
    </row>
    <row r="17" spans="1:11" ht="38" customHeight="1">
      <c r="A17" s="167" t="s">
        <v>199</v>
      </c>
      <c r="B17" s="141"/>
      <c r="C17" s="141"/>
      <c r="D17" s="141"/>
      <c r="E17" s="141"/>
      <c r="F17" s="141"/>
      <c r="G17" s="141"/>
      <c r="H17" s="141"/>
      <c r="I17" s="81"/>
      <c r="J17" s="81"/>
      <c r="K17" s="81"/>
    </row>
    <row r="18" spans="1:11" ht="14" customHeight="1"/>
    <row r="19" spans="1:11">
      <c r="A19" s="167" t="s">
        <v>200</v>
      </c>
      <c r="B19" s="141"/>
      <c r="C19" s="141"/>
      <c r="D19" s="141"/>
      <c r="E19" s="141"/>
      <c r="F19" s="141"/>
      <c r="G19" s="141"/>
      <c r="H19" s="141"/>
    </row>
    <row r="20" spans="1:11" ht="13" customHeight="1">
      <c r="A20" s="167"/>
      <c r="B20" s="141"/>
      <c r="C20" s="141"/>
      <c r="D20" s="141"/>
      <c r="E20" s="141"/>
      <c r="F20" s="141"/>
      <c r="G20" s="141"/>
      <c r="H20" s="141"/>
    </row>
    <row r="22" spans="1:11">
      <c r="A22" s="167" t="s">
        <v>201</v>
      </c>
      <c r="B22" s="141"/>
      <c r="C22" s="141"/>
      <c r="D22" s="141"/>
      <c r="E22" s="141"/>
      <c r="F22" s="141"/>
      <c r="G22" s="141"/>
      <c r="H22" s="141"/>
    </row>
    <row r="23" spans="1:11">
      <c r="A23" s="167"/>
      <c r="B23" s="141"/>
      <c r="C23" s="141"/>
      <c r="D23" s="141"/>
      <c r="E23" s="141"/>
      <c r="F23" s="141"/>
      <c r="G23" s="141"/>
      <c r="H23" s="141"/>
    </row>
    <row r="32" spans="1:11" ht="14.5" customHeight="1"/>
    <row r="33" ht="31.25" customHeight="1"/>
    <row r="35" ht="57" customHeight="1"/>
    <row r="36" ht="14" customHeight="1"/>
  </sheetData>
  <mergeCells count="14">
    <mergeCell ref="A17:H17"/>
    <mergeCell ref="A19:H20"/>
    <mergeCell ref="A22:H23"/>
    <mergeCell ref="A1:H1"/>
    <mergeCell ref="D2:D3"/>
    <mergeCell ref="E4:E13"/>
    <mergeCell ref="B4:B13"/>
    <mergeCell ref="H2:H3"/>
    <mergeCell ref="B2:C2"/>
    <mergeCell ref="E2:F2"/>
    <mergeCell ref="A2:A3"/>
    <mergeCell ref="D4:D15"/>
    <mergeCell ref="G2:G3"/>
    <mergeCell ref="G4:G15"/>
  </mergeCells>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789AB-9C71-48FC-8804-690E10B98E2A}">
  <dimension ref="A1:U41"/>
  <sheetViews>
    <sheetView zoomScale="120" zoomScaleNormal="120" workbookViewId="0">
      <pane ySplit="2" topLeftCell="A17" activePane="bottomLeft" state="frozen"/>
      <selection pane="bottomLeft" activeCell="B39" sqref="B39:K39"/>
    </sheetView>
  </sheetViews>
  <sheetFormatPr baseColWidth="10" defaultColWidth="8.83203125" defaultRowHeight="13"/>
  <cols>
    <col min="1" max="1" width="11.1640625" style="2" bestFit="1" customWidth="1"/>
    <col min="2" max="2" width="12.83203125" style="2" bestFit="1" customWidth="1"/>
    <col min="3" max="3" width="9.5" style="2" bestFit="1" customWidth="1"/>
    <col min="4" max="4" width="8.6640625" style="2" bestFit="1" customWidth="1"/>
    <col min="5" max="5" width="9.5" style="2" bestFit="1" customWidth="1"/>
    <col min="6" max="6" width="6.33203125" style="2" customWidth="1"/>
    <col min="7" max="7" width="9.83203125" style="2" bestFit="1" customWidth="1"/>
    <col min="8" max="8" width="7.83203125" style="2" customWidth="1"/>
    <col min="9" max="9" width="6.5" style="2" bestFit="1" customWidth="1"/>
    <col min="10" max="10" width="11.33203125" style="2" bestFit="1" customWidth="1"/>
    <col min="11" max="11" width="13.83203125" style="2" bestFit="1" customWidth="1"/>
    <col min="12" max="12" width="6.1640625" style="2" bestFit="1" customWidth="1"/>
    <col min="13" max="13" width="11.5" style="2" bestFit="1" customWidth="1"/>
    <col min="14" max="14" width="14" style="2" bestFit="1" customWidth="1"/>
    <col min="15" max="15" width="6.5" style="2" bestFit="1" customWidth="1"/>
    <col min="16" max="16" width="11.33203125" style="2" bestFit="1" customWidth="1"/>
    <col min="17" max="17" width="13.83203125" style="2" bestFit="1" customWidth="1"/>
    <col min="18" max="18" width="9.5" style="2" bestFit="1" customWidth="1"/>
    <col min="19" max="19" width="11.83203125" style="2" bestFit="1" customWidth="1"/>
    <col min="20" max="20" width="14.33203125" style="2" bestFit="1" customWidth="1"/>
    <col min="21" max="21" width="10.1640625" style="2" bestFit="1" customWidth="1"/>
    <col min="22" max="23" width="8.83203125" style="2"/>
    <col min="24" max="24" width="10.6640625" style="2" bestFit="1" customWidth="1"/>
    <col min="25" max="16384" width="8.83203125" style="2"/>
  </cols>
  <sheetData>
    <row r="1" spans="1:21">
      <c r="A1" s="168" t="s">
        <v>205</v>
      </c>
      <c r="B1" s="168"/>
      <c r="C1" s="168"/>
      <c r="D1" s="168"/>
      <c r="E1" s="168"/>
      <c r="F1" s="168"/>
      <c r="G1" s="168"/>
      <c r="H1" s="168"/>
      <c r="I1" s="168"/>
      <c r="J1" s="168"/>
      <c r="K1" s="168"/>
      <c r="L1" s="168"/>
      <c r="M1" s="168"/>
      <c r="N1" s="168"/>
      <c r="O1" s="168"/>
      <c r="P1" s="168"/>
      <c r="Q1" s="168"/>
      <c r="R1" s="168"/>
      <c r="S1" s="168"/>
      <c r="T1" s="168"/>
    </row>
    <row r="2" spans="1:21" s="44" customFormat="1" ht="14">
      <c r="A2" s="3" t="s">
        <v>10</v>
      </c>
      <c r="B2" s="3" t="s">
        <v>11</v>
      </c>
      <c r="C2" s="84" t="s">
        <v>33</v>
      </c>
      <c r="D2" s="3" t="s">
        <v>12</v>
      </c>
      <c r="E2" s="3" t="s">
        <v>105</v>
      </c>
      <c r="F2" s="3"/>
      <c r="G2" s="3" t="s">
        <v>203</v>
      </c>
      <c r="H2" s="85"/>
      <c r="I2" s="84" t="s">
        <v>13</v>
      </c>
      <c r="J2" s="84" t="s">
        <v>14</v>
      </c>
      <c r="K2" s="84" t="s">
        <v>15</v>
      </c>
      <c r="L2" s="84" t="s">
        <v>33</v>
      </c>
      <c r="M2" s="84" t="s">
        <v>34</v>
      </c>
      <c r="N2" s="84" t="s">
        <v>40</v>
      </c>
      <c r="O2" s="84" t="s">
        <v>36</v>
      </c>
      <c r="P2" s="84" t="s">
        <v>41</v>
      </c>
      <c r="Q2" s="84" t="s">
        <v>42</v>
      </c>
      <c r="R2" s="84" t="s">
        <v>103</v>
      </c>
      <c r="S2" s="84" t="s">
        <v>106</v>
      </c>
      <c r="T2" s="84" t="s">
        <v>107</v>
      </c>
    </row>
    <row r="3" spans="1:21">
      <c r="A3" s="45">
        <v>2009</v>
      </c>
      <c r="B3" s="82">
        <v>950</v>
      </c>
      <c r="C3" s="46">
        <v>505</v>
      </c>
      <c r="D3" s="47">
        <v>615</v>
      </c>
      <c r="E3" s="46">
        <v>565000</v>
      </c>
      <c r="F3" s="182"/>
      <c r="G3" s="50"/>
      <c r="H3" s="182"/>
      <c r="I3" s="48"/>
      <c r="J3" s="48"/>
      <c r="K3" s="48"/>
      <c r="L3" s="49"/>
      <c r="M3" s="49"/>
      <c r="N3" s="49"/>
      <c r="O3" s="48"/>
      <c r="P3" s="48"/>
      <c r="Q3" s="48"/>
      <c r="R3" s="49"/>
      <c r="S3" s="49"/>
      <c r="T3" s="49"/>
    </row>
    <row r="4" spans="1:21">
      <c r="A4" s="45">
        <v>2010</v>
      </c>
      <c r="B4" s="179" t="s">
        <v>108</v>
      </c>
      <c r="C4" s="179"/>
      <c r="D4" s="179"/>
      <c r="E4" s="179"/>
      <c r="F4" s="183"/>
      <c r="G4" s="50"/>
      <c r="H4" s="183"/>
      <c r="I4" s="48"/>
      <c r="J4" s="48"/>
      <c r="K4" s="48"/>
      <c r="L4" s="49"/>
      <c r="M4" s="49"/>
      <c r="N4" s="49"/>
      <c r="O4" s="48"/>
      <c r="P4" s="48"/>
      <c r="Q4" s="48"/>
      <c r="R4" s="49"/>
      <c r="S4" s="49"/>
      <c r="T4" s="49"/>
    </row>
    <row r="5" spans="1:21">
      <c r="A5" s="45">
        <v>2011</v>
      </c>
      <c r="B5" s="179"/>
      <c r="C5" s="179"/>
      <c r="D5" s="179"/>
      <c r="E5" s="179"/>
      <c r="F5" s="183"/>
      <c r="G5" s="50"/>
      <c r="H5" s="183"/>
      <c r="I5" s="48"/>
      <c r="J5" s="48"/>
      <c r="K5" s="48"/>
      <c r="L5" s="49"/>
      <c r="M5" s="49"/>
      <c r="N5" s="49"/>
      <c r="O5" s="48"/>
      <c r="P5" s="48"/>
      <c r="Q5" s="48"/>
      <c r="R5" s="49"/>
      <c r="S5" s="49"/>
      <c r="T5" s="49"/>
    </row>
    <row r="6" spans="1:21">
      <c r="A6" s="45">
        <v>2012</v>
      </c>
      <c r="B6" s="179"/>
      <c r="C6" s="179"/>
      <c r="D6" s="179"/>
      <c r="E6" s="179"/>
      <c r="F6" s="183"/>
      <c r="G6" s="50"/>
      <c r="H6" s="183"/>
      <c r="I6" s="48"/>
      <c r="J6" s="48"/>
      <c r="K6" s="48"/>
      <c r="L6" s="49"/>
      <c r="M6" s="49"/>
      <c r="N6" s="49"/>
      <c r="O6" s="48"/>
      <c r="P6" s="48"/>
      <c r="Q6" s="48"/>
      <c r="R6" s="49"/>
      <c r="S6" s="49"/>
      <c r="T6" s="49"/>
    </row>
    <row r="7" spans="1:21">
      <c r="A7" s="45">
        <v>2013</v>
      </c>
      <c r="B7" s="179"/>
      <c r="C7" s="179"/>
      <c r="D7" s="179"/>
      <c r="E7" s="179"/>
      <c r="F7" s="183"/>
      <c r="G7" s="50"/>
      <c r="H7" s="183"/>
      <c r="I7" s="48"/>
      <c r="J7" s="48"/>
      <c r="K7" s="48"/>
      <c r="L7" s="49"/>
      <c r="M7" s="49"/>
      <c r="N7" s="49"/>
      <c r="O7" s="48"/>
      <c r="P7" s="48"/>
      <c r="Q7" s="48"/>
      <c r="R7" s="49"/>
      <c r="S7" s="49"/>
      <c r="T7" s="49"/>
    </row>
    <row r="8" spans="1:21">
      <c r="A8" s="45">
        <v>2014</v>
      </c>
      <c r="B8" s="179"/>
      <c r="C8" s="179"/>
      <c r="D8" s="179"/>
      <c r="E8" s="179"/>
      <c r="F8" s="183"/>
      <c r="G8" s="50"/>
      <c r="H8" s="183"/>
      <c r="I8" s="48"/>
      <c r="J8" s="48"/>
      <c r="K8" s="48"/>
      <c r="L8" s="49"/>
      <c r="M8" s="49"/>
      <c r="N8" s="49"/>
      <c r="O8" s="48"/>
      <c r="P8" s="48"/>
      <c r="Q8" s="48"/>
      <c r="R8" s="49"/>
      <c r="S8" s="49"/>
      <c r="T8" s="49"/>
    </row>
    <row r="9" spans="1:21">
      <c r="A9" s="45">
        <v>2015</v>
      </c>
      <c r="B9" s="179"/>
      <c r="C9" s="179"/>
      <c r="D9" s="179"/>
      <c r="E9" s="179"/>
      <c r="F9" s="183"/>
      <c r="G9" s="50"/>
      <c r="H9" s="183"/>
      <c r="I9" s="48"/>
      <c r="J9" s="48"/>
      <c r="K9" s="48"/>
      <c r="L9" s="49"/>
      <c r="M9" s="49"/>
      <c r="N9" s="49"/>
      <c r="O9" s="48"/>
      <c r="P9" s="48"/>
      <c r="Q9" s="48"/>
      <c r="R9" s="49"/>
      <c r="S9" s="49"/>
      <c r="T9" s="49"/>
    </row>
    <row r="10" spans="1:21">
      <c r="A10" s="45">
        <v>2016</v>
      </c>
      <c r="B10" s="179"/>
      <c r="C10" s="179"/>
      <c r="D10" s="179"/>
      <c r="E10" s="179"/>
      <c r="F10" s="183"/>
      <c r="G10" s="50"/>
      <c r="H10" s="183"/>
      <c r="I10" s="48"/>
      <c r="J10" s="48"/>
      <c r="K10" s="48"/>
      <c r="L10" s="49"/>
      <c r="M10" s="49"/>
      <c r="N10" s="49"/>
      <c r="O10" s="48"/>
      <c r="P10" s="48"/>
      <c r="Q10" s="48"/>
      <c r="R10" s="49"/>
      <c r="S10" s="49"/>
      <c r="T10" s="49"/>
    </row>
    <row r="11" spans="1:21">
      <c r="A11" s="45">
        <v>2017</v>
      </c>
      <c r="B11" s="179"/>
      <c r="C11" s="179"/>
      <c r="D11" s="179"/>
      <c r="E11" s="179"/>
      <c r="F11" s="183"/>
      <c r="G11" s="50"/>
      <c r="H11" s="183"/>
      <c r="I11" s="48"/>
      <c r="J11" s="48"/>
      <c r="K11" s="48"/>
      <c r="L11" s="49"/>
      <c r="M11" s="49"/>
      <c r="N11" s="49"/>
      <c r="O11" s="48"/>
      <c r="P11" s="48"/>
      <c r="Q11" s="48"/>
      <c r="R11" s="49"/>
      <c r="S11" s="49"/>
      <c r="T11" s="49"/>
    </row>
    <row r="12" spans="1:21">
      <c r="A12" s="45">
        <v>2018</v>
      </c>
      <c r="B12" s="179"/>
      <c r="C12" s="179"/>
      <c r="D12" s="179"/>
      <c r="E12" s="179"/>
      <c r="F12" s="183"/>
      <c r="G12" s="50"/>
      <c r="H12" s="183"/>
      <c r="I12" s="48"/>
      <c r="J12" s="48"/>
      <c r="K12" s="48"/>
      <c r="L12" s="49"/>
      <c r="M12" s="49"/>
      <c r="N12" s="49"/>
      <c r="O12" s="48"/>
      <c r="P12" s="48"/>
      <c r="Q12" s="48"/>
      <c r="R12" s="49"/>
      <c r="S12" s="49"/>
      <c r="T12" s="49"/>
    </row>
    <row r="13" spans="1:21">
      <c r="A13" s="45">
        <v>2019</v>
      </c>
      <c r="B13" s="83">
        <v>1550</v>
      </c>
      <c r="C13" s="50">
        <v>585</v>
      </c>
      <c r="D13" s="50">
        <v>830</v>
      </c>
      <c r="E13" s="50">
        <v>945000</v>
      </c>
      <c r="F13" s="183"/>
      <c r="G13" s="50"/>
      <c r="H13" s="183"/>
      <c r="I13" s="48"/>
      <c r="J13" s="48"/>
      <c r="K13" s="48"/>
      <c r="L13" s="49"/>
      <c r="M13" s="49"/>
      <c r="N13" s="49"/>
      <c r="O13" s="48"/>
      <c r="P13" s="48"/>
      <c r="Q13" s="48"/>
      <c r="R13" s="49"/>
      <c r="S13" s="49"/>
      <c r="T13" s="49"/>
    </row>
    <row r="14" spans="1:21" ht="14">
      <c r="A14" s="51" t="s">
        <v>43</v>
      </c>
      <c r="B14" s="52"/>
      <c r="C14" s="52"/>
      <c r="D14" s="52"/>
      <c r="E14" s="53"/>
      <c r="F14" s="183"/>
      <c r="G14" s="59"/>
      <c r="H14" s="183"/>
      <c r="I14" s="54"/>
      <c r="J14" s="54"/>
      <c r="K14" s="54"/>
      <c r="L14" s="55"/>
      <c r="M14" s="55"/>
      <c r="N14" s="55"/>
      <c r="O14" s="54"/>
      <c r="P14" s="54"/>
      <c r="Q14" s="54"/>
      <c r="R14" s="56"/>
      <c r="S14" s="56"/>
      <c r="T14" s="56"/>
      <c r="U14" s="57"/>
    </row>
    <row r="15" spans="1:21" ht="14">
      <c r="A15" s="51" t="s">
        <v>44</v>
      </c>
      <c r="B15" s="58"/>
      <c r="C15" s="58"/>
      <c r="D15" s="58"/>
      <c r="E15" s="59"/>
      <c r="F15" s="183"/>
      <c r="G15" s="59"/>
      <c r="H15" s="183"/>
      <c r="I15" s="54"/>
      <c r="J15" s="54"/>
      <c r="K15" s="54"/>
      <c r="L15" s="55"/>
      <c r="M15" s="55"/>
      <c r="N15" s="55"/>
      <c r="O15" s="54"/>
      <c r="P15" s="54"/>
      <c r="Q15" s="54"/>
      <c r="R15" s="56"/>
      <c r="S15" s="56"/>
      <c r="T15" s="56"/>
    </row>
    <row r="16" spans="1:21" ht="14">
      <c r="A16" s="51" t="s">
        <v>45</v>
      </c>
      <c r="B16" s="58"/>
      <c r="C16" s="58"/>
      <c r="D16" s="58"/>
      <c r="E16" s="59"/>
      <c r="F16" s="183"/>
      <c r="G16" s="59"/>
      <c r="H16" s="183"/>
      <c r="I16" s="54"/>
      <c r="J16" s="54"/>
      <c r="K16" s="54"/>
      <c r="L16" s="55"/>
      <c r="M16" s="55"/>
      <c r="N16" s="55"/>
      <c r="O16" s="54"/>
      <c r="P16" s="54"/>
      <c r="Q16" s="54"/>
      <c r="R16" s="56"/>
      <c r="S16" s="56"/>
      <c r="T16" s="56"/>
    </row>
    <row r="17" spans="1:20" ht="14">
      <c r="A17" s="51" t="s">
        <v>46</v>
      </c>
      <c r="B17" s="58"/>
      <c r="C17" s="58"/>
      <c r="D17" s="58"/>
      <c r="E17" s="59"/>
      <c r="F17" s="183"/>
      <c r="G17" s="59"/>
      <c r="H17" s="183"/>
      <c r="I17" s="54"/>
      <c r="J17" s="54"/>
      <c r="K17" s="54"/>
      <c r="L17" s="55"/>
      <c r="M17" s="55"/>
      <c r="N17" s="55"/>
      <c r="O17" s="54"/>
      <c r="P17" s="54"/>
      <c r="Q17" s="54"/>
      <c r="R17" s="56"/>
      <c r="S17" s="56"/>
      <c r="T17" s="56"/>
    </row>
    <row r="18" spans="1:20" ht="14">
      <c r="A18" s="51" t="s">
        <v>47</v>
      </c>
      <c r="B18" s="58"/>
      <c r="C18" s="74"/>
      <c r="D18" s="75"/>
      <c r="E18" s="59"/>
      <c r="F18" s="183"/>
      <c r="G18" s="59"/>
      <c r="H18" s="183"/>
      <c r="I18" s="54"/>
      <c r="J18" s="54"/>
      <c r="K18" s="54"/>
      <c r="L18" s="55"/>
      <c r="M18" s="55"/>
      <c r="N18" s="55"/>
      <c r="O18" s="54"/>
      <c r="P18" s="54"/>
      <c r="Q18" s="54"/>
      <c r="R18" s="56"/>
      <c r="S18" s="56"/>
      <c r="T18" s="56"/>
    </row>
    <row r="19" spans="1:20" ht="14">
      <c r="A19" s="60" t="s">
        <v>48</v>
      </c>
      <c r="B19" s="62">
        <v>1000</v>
      </c>
      <c r="C19" s="62">
        <v>300</v>
      </c>
      <c r="D19" s="62">
        <f>C19*1.2</f>
        <v>360</v>
      </c>
      <c r="E19" s="63">
        <f>C19*$C$33+D19*$D$33+$B$33</f>
        <v>545583.05484932521</v>
      </c>
      <c r="F19" s="183"/>
      <c r="G19" s="59">
        <f t="shared" ref="G19:G29" si="0">E19*(1+1/3)</f>
        <v>727444.07313243358</v>
      </c>
      <c r="H19" s="183"/>
      <c r="I19" s="54">
        <v>23385.143874869998</v>
      </c>
      <c r="J19" s="54">
        <f t="shared" ref="J19:J29" si="1">I19+B19</f>
        <v>24385.143874869998</v>
      </c>
      <c r="K19" s="64">
        <f>LN(J19)</f>
        <v>10.101729368264946</v>
      </c>
      <c r="L19" s="55">
        <v>6722.3966443999998</v>
      </c>
      <c r="M19" s="55">
        <f t="shared" ref="M19:M29" si="2">L19+C19</f>
        <v>7022.3966443999998</v>
      </c>
      <c r="N19" s="65">
        <f>LN(M19)</f>
        <v>8.8568598410915218</v>
      </c>
      <c r="O19" s="54">
        <v>11374.10671831</v>
      </c>
      <c r="P19" s="54">
        <f t="shared" ref="P19:P29" si="3">O19+D19</f>
        <v>11734.10671831</v>
      </c>
      <c r="Q19" s="64">
        <f>LN(P19)</f>
        <v>9.3702549842382101</v>
      </c>
      <c r="R19" s="56">
        <v>19492525.629445601</v>
      </c>
      <c r="S19" s="56">
        <f t="shared" ref="S19:S29" si="4">R19+G19</f>
        <v>20219969.702578034</v>
      </c>
      <c r="T19" s="64">
        <f>LN(S19)</f>
        <v>16.822181273166656</v>
      </c>
    </row>
    <row r="20" spans="1:20" ht="14">
      <c r="A20" s="60" t="s">
        <v>49</v>
      </c>
      <c r="B20" s="61">
        <f>B19*(1+$B$30)</f>
        <v>1050.1729055153392</v>
      </c>
      <c r="C20" s="61">
        <f t="shared" ref="C20:C29" si="5">C19*(1+$C$30)</f>
        <v>304.44419918591149</v>
      </c>
      <c r="D20" s="61">
        <f t="shared" ref="D20:D29" si="6">D19*(1+$D$30)</f>
        <v>370.95634037351471</v>
      </c>
      <c r="E20" s="63">
        <f t="shared" ref="E20:E29" si="7">C20*$C$33+D20*$D$33+$B$33</f>
        <v>563502.81195548386</v>
      </c>
      <c r="F20" s="183"/>
      <c r="G20" s="59">
        <f t="shared" si="0"/>
        <v>751337.08260731178</v>
      </c>
      <c r="H20" s="183"/>
      <c r="I20" s="54">
        <v>24499.376026360002</v>
      </c>
      <c r="J20" s="54">
        <f t="shared" si="1"/>
        <v>25549.548931875339</v>
      </c>
      <c r="K20" s="64">
        <f t="shared" ref="K20:K29" si="8">LN(J20)</f>
        <v>10.148374941146278</v>
      </c>
      <c r="L20" s="55">
        <v>6883.5634410000002</v>
      </c>
      <c r="M20" s="55">
        <f t="shared" si="2"/>
        <v>7188.0076401859114</v>
      </c>
      <c r="N20" s="65">
        <f t="shared" ref="N20:N29" si="9">LN(M20)</f>
        <v>8.8801693108113309</v>
      </c>
      <c r="O20" s="54">
        <v>12011.680244110001</v>
      </c>
      <c r="P20" s="54">
        <f t="shared" si="3"/>
        <v>12382.636584483516</v>
      </c>
      <c r="Q20" s="64">
        <f t="shared" ref="Q20:Q29" si="10">LN(P20)</f>
        <v>9.424050494846421</v>
      </c>
      <c r="R20" s="54">
        <v>20010954.286888599</v>
      </c>
      <c r="S20" s="56">
        <f t="shared" si="4"/>
        <v>20762291.36949591</v>
      </c>
      <c r="T20" s="64">
        <f>LN(S20)</f>
        <v>16.848648984424347</v>
      </c>
    </row>
    <row r="21" spans="1:20" ht="14">
      <c r="A21" s="60" t="s">
        <v>50</v>
      </c>
      <c r="B21" s="61">
        <f t="shared" ref="B21:B29" si="11">B20*(1+$B$30)</f>
        <v>1102.8631314785296</v>
      </c>
      <c r="C21" s="61">
        <f t="shared" si="5"/>
        <v>308.95423472650316</v>
      </c>
      <c r="D21" s="61">
        <f t="shared" si="6"/>
        <v>382.24612906475249</v>
      </c>
      <c r="E21" s="63">
        <f t="shared" si="7"/>
        <v>582241.17878810363</v>
      </c>
      <c r="F21" s="183"/>
      <c r="G21" s="59">
        <f t="shared" si="0"/>
        <v>776321.57171747147</v>
      </c>
      <c r="H21" s="183"/>
      <c r="I21" s="54">
        <v>25666.698006750001</v>
      </c>
      <c r="J21" s="54">
        <f t="shared" si="1"/>
        <v>26769.561138228531</v>
      </c>
      <c r="K21" s="64">
        <f t="shared" si="8"/>
        <v>10.195020742589527</v>
      </c>
      <c r="L21" s="55">
        <v>7048.5941477099996</v>
      </c>
      <c r="M21" s="55">
        <f t="shared" si="2"/>
        <v>7357.5483824365028</v>
      </c>
      <c r="N21" s="65">
        <f t="shared" si="9"/>
        <v>8.903482056020291</v>
      </c>
      <c r="O21" s="54">
        <v>12684.992840319999</v>
      </c>
      <c r="P21" s="54">
        <f t="shared" si="3"/>
        <v>13067.238969384751</v>
      </c>
      <c r="Q21" s="64">
        <f t="shared" si="10"/>
        <v>9.4778635348287139</v>
      </c>
      <c r="R21" s="54">
        <v>20543171.217743099</v>
      </c>
      <c r="S21" s="56">
        <f t="shared" si="4"/>
        <v>21319492.78946057</v>
      </c>
      <c r="T21" s="64">
        <f>LN(S21)</f>
        <v>16.875132366615912</v>
      </c>
    </row>
    <row r="22" spans="1:20" ht="14">
      <c r="A22" s="60" t="s">
        <v>51</v>
      </c>
      <c r="B22" s="61">
        <f t="shared" si="11"/>
        <v>1158.196979170553</v>
      </c>
      <c r="C22" s="61">
        <f t="shared" si="5"/>
        <v>313.5310819213546</v>
      </c>
      <c r="D22" s="61">
        <f t="shared" si="6"/>
        <v>393.87951433278545</v>
      </c>
      <c r="E22" s="63">
        <f t="shared" si="7"/>
        <v>601827.11684405431</v>
      </c>
      <c r="F22" s="183"/>
      <c r="G22" s="59">
        <f t="shared" si="0"/>
        <v>802436.15579207242</v>
      </c>
      <c r="H22" s="183"/>
      <c r="I22" s="54">
        <v>26889.6393876</v>
      </c>
      <c r="J22" s="54">
        <f t="shared" si="1"/>
        <v>28047.836366770553</v>
      </c>
      <c r="K22" s="64">
        <f t="shared" si="8"/>
        <v>10.241666773101304</v>
      </c>
      <c r="L22" s="55">
        <v>7217.5814002300003</v>
      </c>
      <c r="M22" s="55">
        <f t="shared" si="2"/>
        <v>7531.1124821513549</v>
      </c>
      <c r="N22" s="65">
        <f t="shared" si="9"/>
        <v>8.9267980498750017</v>
      </c>
      <c r="O22" s="54">
        <v>13396.04785415</v>
      </c>
      <c r="P22" s="54">
        <f t="shared" si="3"/>
        <v>13789.927368482786</v>
      </c>
      <c r="Q22" s="64">
        <f t="shared" si="10"/>
        <v>9.5316937038034109</v>
      </c>
      <c r="R22" s="54">
        <v>21089543.138780799</v>
      </c>
      <c r="S22" s="56">
        <f t="shared" si="4"/>
        <v>21891979.294572871</v>
      </c>
      <c r="T22" s="64">
        <f t="shared" ref="T22:T29" si="12">LN(S22)</f>
        <v>16.901630885446707</v>
      </c>
    </row>
    <row r="23" spans="1:20" ht="14">
      <c r="A23" s="60" t="s">
        <v>52</v>
      </c>
      <c r="B23" s="61">
        <f t="shared" si="11"/>
        <v>1216.3070867746285</v>
      </c>
      <c r="C23" s="61">
        <f t="shared" si="5"/>
        <v>318.17573051813071</v>
      </c>
      <c r="D23" s="61">
        <f t="shared" si="6"/>
        <v>405.86695329163177</v>
      </c>
      <c r="E23" s="63">
        <f t="shared" si="7"/>
        <v>622290.52900509606</v>
      </c>
      <c r="F23" s="183"/>
      <c r="G23" s="59">
        <f t="shared" si="0"/>
        <v>829720.70534012804</v>
      </c>
      <c r="H23" s="183"/>
      <c r="I23" s="54">
        <v>28170.85026694</v>
      </c>
      <c r="J23" s="54">
        <f t="shared" si="1"/>
        <v>29387.157353714629</v>
      </c>
      <c r="K23" s="64">
        <f t="shared" si="8"/>
        <v>10.288313033187485</v>
      </c>
      <c r="L23" s="55">
        <v>7390.6200552</v>
      </c>
      <c r="M23" s="55">
        <f t="shared" si="2"/>
        <v>7708.7957857181309</v>
      </c>
      <c r="N23" s="65">
        <f t="shared" si="9"/>
        <v>8.9501172657358516</v>
      </c>
      <c r="O23" s="54">
        <v>14146.960930110001</v>
      </c>
      <c r="P23" s="54">
        <f t="shared" si="3"/>
        <v>14552.827883401633</v>
      </c>
      <c r="Q23" s="64">
        <f t="shared" si="10"/>
        <v>9.5855406099624449</v>
      </c>
      <c r="R23" s="54">
        <v>21650446.520075299</v>
      </c>
      <c r="S23" s="56">
        <f t="shared" si="4"/>
        <v>22480167.225415427</v>
      </c>
      <c r="T23" s="64">
        <f t="shared" si="12"/>
        <v>16.928144021815097</v>
      </c>
    </row>
    <row r="24" spans="1:20" ht="14">
      <c r="A24" s="60" t="s">
        <v>53</v>
      </c>
      <c r="B24" s="61">
        <f t="shared" si="11"/>
        <v>1277.3327473170095</v>
      </c>
      <c r="C24" s="61">
        <f t="shared" si="5"/>
        <v>322.8891849266156</v>
      </c>
      <c r="D24" s="61">
        <f t="shared" si="6"/>
        <v>418.21922131003322</v>
      </c>
      <c r="E24" s="63">
        <f t="shared" si="7"/>
        <v>643662.28907653643</v>
      </c>
      <c r="F24" s="183"/>
      <c r="G24" s="59">
        <f t="shared" si="0"/>
        <v>858216.3854353819</v>
      </c>
      <c r="H24" s="183"/>
      <c r="I24" s="54">
        <v>29513.10701208</v>
      </c>
      <c r="J24" s="54">
        <f t="shared" si="1"/>
        <v>30790.43975939701</v>
      </c>
      <c r="K24" s="64">
        <f t="shared" si="8"/>
        <v>10.33495952335624</v>
      </c>
      <c r="L24" s="55">
        <v>7567.8072433699999</v>
      </c>
      <c r="M24" s="55">
        <f t="shared" si="2"/>
        <v>7890.6964282966155</v>
      </c>
      <c r="N24" s="65">
        <f t="shared" si="9"/>
        <v>8.9734396771558309</v>
      </c>
      <c r="O24" s="54">
        <v>14939.96630477</v>
      </c>
      <c r="P24" s="54">
        <f t="shared" si="3"/>
        <v>15358.185526080033</v>
      </c>
      <c r="Q24" s="64">
        <f t="shared" si="10"/>
        <v>9.6394038699112894</v>
      </c>
      <c r="R24" s="54">
        <v>22226267.8444032</v>
      </c>
      <c r="S24" s="56">
        <f t="shared" si="4"/>
        <v>23084484.22983858</v>
      </c>
      <c r="T24" s="64">
        <f t="shared" si="12"/>
        <v>16.954671271453083</v>
      </c>
    </row>
    <row r="25" spans="1:20" ht="14">
      <c r="A25" s="60" t="s">
        <v>54</v>
      </c>
      <c r="B25" s="61">
        <f t="shared" si="11"/>
        <v>1341.4202425597946</v>
      </c>
      <c r="C25" s="61">
        <f t="shared" si="5"/>
        <v>327.67246443591722</v>
      </c>
      <c r="D25" s="61">
        <f t="shared" si="6"/>
        <v>430.94742169730824</v>
      </c>
      <c r="E25" s="63">
        <f t="shared" si="7"/>
        <v>665974.27223803266</v>
      </c>
      <c r="F25" s="183"/>
      <c r="G25" s="59">
        <f t="shared" si="0"/>
        <v>887965.6963173768</v>
      </c>
      <c r="H25" s="183"/>
      <c r="I25" s="54">
        <v>30919.318275909998</v>
      </c>
      <c r="J25" s="54">
        <f t="shared" si="1"/>
        <v>32260.738518469792</v>
      </c>
      <c r="K25" s="64">
        <f t="shared" si="8"/>
        <v>10.381606244116167</v>
      </c>
      <c r="L25" s="55">
        <v>7749.2424241899998</v>
      </c>
      <c r="M25" s="55">
        <f t="shared" si="2"/>
        <v>8076.9148886259172</v>
      </c>
      <c r="N25" s="65">
        <f t="shared" si="9"/>
        <v>8.9967652578884376</v>
      </c>
      <c r="O25" s="54">
        <v>15777.42345443</v>
      </c>
      <c r="P25" s="54">
        <f t="shared" si="3"/>
        <v>16208.370876127308</v>
      </c>
      <c r="Q25" s="64">
        <f t="shared" si="10"/>
        <v>9.6932831085148798</v>
      </c>
      <c r="R25" s="54">
        <v>22817403.873545501</v>
      </c>
      <c r="S25" s="56">
        <f t="shared" si="4"/>
        <v>23705369.56986288</v>
      </c>
      <c r="T25" s="64">
        <f t="shared" si="12"/>
        <v>16.981212144572819</v>
      </c>
    </row>
    <row r="26" spans="1:20" ht="14">
      <c r="A26" s="60" t="s">
        <v>55</v>
      </c>
      <c r="B26" s="61">
        <f t="shared" si="11"/>
        <v>1408.7231936461105</v>
      </c>
      <c r="C26" s="61">
        <f t="shared" si="5"/>
        <v>332.52660343488964</v>
      </c>
      <c r="D26" s="61">
        <f t="shared" si="6"/>
        <v>444.06299568398686</v>
      </c>
      <c r="E26" s="63">
        <f t="shared" si="7"/>
        <v>689259.38643449731</v>
      </c>
      <c r="F26" s="183"/>
      <c r="G26" s="59">
        <f t="shared" si="0"/>
        <v>919012.51524599642</v>
      </c>
      <c r="H26" s="183"/>
      <c r="I26" s="54">
        <v>32392.53129993</v>
      </c>
      <c r="J26" s="54">
        <f t="shared" si="1"/>
        <v>33801.254493576111</v>
      </c>
      <c r="K26" s="64">
        <f t="shared" si="8"/>
        <v>10.428253195976918</v>
      </c>
      <c r="L26" s="55">
        <v>7935.0274415900003</v>
      </c>
      <c r="M26" s="55">
        <f t="shared" si="2"/>
        <v>8267.55404502489</v>
      </c>
      <c r="N26" s="65">
        <f t="shared" si="9"/>
        <v>9.0200939818802297</v>
      </c>
      <c r="O26" s="54">
        <v>16661.824115430001</v>
      </c>
      <c r="P26" s="54">
        <f t="shared" si="3"/>
        <v>17105.887111113989</v>
      </c>
      <c r="Q26" s="64">
        <f t="shared" si="10"/>
        <v>9.7471779587452811</v>
      </c>
      <c r="R26" s="54">
        <v>23424261.921669699</v>
      </c>
      <c r="S26" s="56">
        <f t="shared" si="4"/>
        <v>24343274.436915696</v>
      </c>
      <c r="T26" s="64">
        <f t="shared" si="12"/>
        <v>17.007766165518809</v>
      </c>
    </row>
    <row r="27" spans="1:20" ht="14">
      <c r="A27" s="60" t="s">
        <v>56</v>
      </c>
      <c r="B27" s="61">
        <f t="shared" si="11"/>
        <v>1479.4029293381839</v>
      </c>
      <c r="C27" s="61">
        <f t="shared" si="5"/>
        <v>337.45265163582047</v>
      </c>
      <c r="D27" s="61">
        <f t="shared" si="6"/>
        <v>457.57773270619896</v>
      </c>
      <c r="E27" s="63">
        <f t="shared" si="7"/>
        <v>713551.60473591555</v>
      </c>
      <c r="F27" s="183"/>
      <c r="G27" s="59">
        <f t="shared" si="0"/>
        <v>951402.13964788732</v>
      </c>
      <c r="H27" s="183"/>
      <c r="I27" s="54">
        <v>33935.938517590002</v>
      </c>
      <c r="J27" s="54">
        <f t="shared" si="1"/>
        <v>35415.341446928185</v>
      </c>
      <c r="K27" s="64">
        <f t="shared" si="8"/>
        <v>10.474900379449398</v>
      </c>
      <c r="L27" s="55">
        <v>8125.2665811999996</v>
      </c>
      <c r="M27" s="55">
        <f t="shared" si="2"/>
        <v>8462.7192328358196</v>
      </c>
      <c r="N27" s="65">
        <f t="shared" si="9"/>
        <v>9.0434258232762001</v>
      </c>
      <c r="O27" s="54">
        <v>17595.799697909999</v>
      </c>
      <c r="P27" s="54">
        <f t="shared" si="3"/>
        <v>18053.377430616198</v>
      </c>
      <c r="Q27" s="64">
        <f t="shared" si="10"/>
        <v>9.8010880615267446</v>
      </c>
      <c r="R27" s="54">
        <v>24047260.1359853</v>
      </c>
      <c r="S27" s="56">
        <f t="shared" si="4"/>
        <v>24998662.275633186</v>
      </c>
      <c r="T27" s="64">
        <f t="shared" si="12"/>
        <v>17.034332872426145</v>
      </c>
    </row>
    <row r="28" spans="1:20" ht="14">
      <c r="A28" s="60" t="s">
        <v>57</v>
      </c>
      <c r="B28" s="61">
        <f t="shared" si="11"/>
        <v>1553.6288727309848</v>
      </c>
      <c r="C28" s="61">
        <f t="shared" si="5"/>
        <v>342.45167430143243</v>
      </c>
      <c r="D28" s="61">
        <f t="shared" si="6"/>
        <v>471.50378100306079</v>
      </c>
      <c r="E28" s="63">
        <f t="shared" si="7"/>
        <v>738885.99869576097</v>
      </c>
      <c r="F28" s="183"/>
      <c r="G28" s="59">
        <f t="shared" si="0"/>
        <v>985181.33159434795</v>
      </c>
      <c r="H28" s="183"/>
      <c r="I28" s="54">
        <v>35552.884472229998</v>
      </c>
      <c r="J28" s="54">
        <f t="shared" si="1"/>
        <v>37106.513344960986</v>
      </c>
      <c r="K28" s="64">
        <f t="shared" si="8"/>
        <v>10.521547795045134</v>
      </c>
      <c r="L28" s="55">
        <v>8320.0666288100001</v>
      </c>
      <c r="M28" s="55">
        <f t="shared" si="2"/>
        <v>8662.518303111432</v>
      </c>
      <c r="N28" s="65">
        <f t="shared" si="9"/>
        <v>9.0667607564092236</v>
      </c>
      <c r="O28" s="54">
        <v>18582.129115290001</v>
      </c>
      <c r="P28" s="54">
        <f t="shared" si="3"/>
        <v>19053.632896293064</v>
      </c>
      <c r="Q28" s="64">
        <f t="shared" si="10"/>
        <v>9.8550130655907839</v>
      </c>
      <c r="R28" s="54">
        <v>24686827.784861401</v>
      </c>
      <c r="S28" s="56">
        <f t="shared" si="4"/>
        <v>25672009.116455749</v>
      </c>
      <c r="T28" s="64">
        <f t="shared" si="12"/>
        <v>17.060911816884566</v>
      </c>
    </row>
    <row r="29" spans="1:20" ht="14">
      <c r="A29" s="60" t="s">
        <v>58</v>
      </c>
      <c r="B29" s="61">
        <f t="shared" si="11"/>
        <v>1631.5789473684194</v>
      </c>
      <c r="C29" s="61">
        <f t="shared" si="5"/>
        <v>347.52475247524728</v>
      </c>
      <c r="D29" s="61">
        <f t="shared" si="6"/>
        <v>485.85365853658493</v>
      </c>
      <c r="E29" s="63">
        <f t="shared" si="7"/>
        <v>765298.77273860993</v>
      </c>
      <c r="F29" s="184"/>
      <c r="G29" s="59">
        <f t="shared" si="0"/>
        <v>1020398.3636514798</v>
      </c>
      <c r="H29" s="184"/>
      <c r="I29" s="54">
        <v>37246.87306469</v>
      </c>
      <c r="J29" s="54">
        <f t="shared" si="1"/>
        <v>38878.45201205842</v>
      </c>
      <c r="K29" s="64">
        <f t="shared" si="8"/>
        <v>10.568195443277087</v>
      </c>
      <c r="L29" s="55">
        <v>8519.5369303999996</v>
      </c>
      <c r="M29" s="55">
        <f t="shared" si="2"/>
        <v>8867.0616828752463</v>
      </c>
      <c r="N29" s="65">
        <f t="shared" si="9"/>
        <v>9.0900987558095441</v>
      </c>
      <c r="O29" s="54">
        <v>19623.747052449999</v>
      </c>
      <c r="P29" s="54">
        <f t="shared" si="3"/>
        <v>20109.600710986582</v>
      </c>
      <c r="Q29" s="64">
        <f t="shared" si="10"/>
        <v>9.9089526273227655</v>
      </c>
      <c r="R29" s="54">
        <v>25343405.553608801</v>
      </c>
      <c r="S29" s="56">
        <f t="shared" si="4"/>
        <v>26363803.917260282</v>
      </c>
      <c r="T29" s="64">
        <f t="shared" si="12"/>
        <v>17.087502563608513</v>
      </c>
    </row>
    <row r="30" spans="1:20">
      <c r="A30" s="111" t="s">
        <v>189</v>
      </c>
      <c r="B30" s="66">
        <v>5.0172905515339261E-2</v>
      </c>
      <c r="C30" s="66">
        <v>1.4813997286371672E-2</v>
      </c>
      <c r="D30" s="66">
        <v>3.0434278815318683E-2</v>
      </c>
      <c r="E30" s="67"/>
    </row>
    <row r="32" spans="1:20" ht="16">
      <c r="A32" s="181" t="s">
        <v>182</v>
      </c>
      <c r="B32" s="70" t="s">
        <v>111</v>
      </c>
      <c r="C32" s="71" t="s">
        <v>60</v>
      </c>
      <c r="D32" s="71" t="s">
        <v>61</v>
      </c>
    </row>
    <row r="33" spans="1:11">
      <c r="A33" s="181"/>
      <c r="B33" s="72">
        <v>562820.61047197785</v>
      </c>
      <c r="C33" s="73">
        <v>-3935.9874630284489</v>
      </c>
      <c r="D33" s="73">
        <v>3232.1074535718944</v>
      </c>
    </row>
    <row r="35" spans="1:11" ht="63" customHeight="1">
      <c r="B35" s="141" t="s">
        <v>204</v>
      </c>
      <c r="C35" s="141"/>
      <c r="D35" s="141"/>
      <c r="E35" s="141"/>
      <c r="F35" s="141"/>
      <c r="G35" s="141"/>
      <c r="H35" s="141"/>
      <c r="I35" s="141"/>
      <c r="J35" s="141"/>
      <c r="K35" s="141"/>
    </row>
    <row r="36" spans="1:11">
      <c r="B36" s="68"/>
      <c r="C36" s="68"/>
      <c r="D36" s="68"/>
      <c r="E36" s="68"/>
    </row>
    <row r="37" spans="1:11" ht="45" customHeight="1">
      <c r="B37" s="141" t="s">
        <v>185</v>
      </c>
      <c r="C37" s="141"/>
      <c r="D37" s="141"/>
      <c r="E37" s="141"/>
      <c r="F37" s="141"/>
      <c r="G37" s="141"/>
      <c r="H37" s="141"/>
      <c r="I37" s="141"/>
      <c r="J37" s="141"/>
      <c r="K37" s="141"/>
    </row>
    <row r="38" spans="1:11">
      <c r="B38" s="69"/>
      <c r="C38" s="69"/>
      <c r="D38" s="69"/>
      <c r="E38" s="69"/>
      <c r="F38" s="69"/>
      <c r="G38" s="69"/>
      <c r="H38" s="69"/>
      <c r="I38" s="69"/>
      <c r="J38" s="69"/>
      <c r="K38" s="69"/>
    </row>
    <row r="39" spans="1:11" ht="70" customHeight="1">
      <c r="B39" s="180" t="s">
        <v>186</v>
      </c>
      <c r="C39" s="180"/>
      <c r="D39" s="180"/>
      <c r="E39" s="180"/>
      <c r="F39" s="180"/>
      <c r="G39" s="180"/>
      <c r="H39" s="180"/>
      <c r="I39" s="180"/>
      <c r="J39" s="180"/>
      <c r="K39" s="180"/>
    </row>
    <row r="41" spans="1:11" ht="60" customHeight="1">
      <c r="B41" s="141" t="s">
        <v>16</v>
      </c>
      <c r="C41" s="141"/>
      <c r="D41" s="141"/>
      <c r="E41" s="141"/>
      <c r="F41" s="141"/>
      <c r="G41" s="141"/>
      <c r="H41" s="141"/>
      <c r="I41" s="141"/>
      <c r="J41" s="141"/>
      <c r="K41" s="141"/>
    </row>
  </sheetData>
  <mergeCells count="9">
    <mergeCell ref="A1:T1"/>
    <mergeCell ref="B4:E12"/>
    <mergeCell ref="B37:K37"/>
    <mergeCell ref="B39:K39"/>
    <mergeCell ref="B41:K41"/>
    <mergeCell ref="A32:A33"/>
    <mergeCell ref="F3:F29"/>
    <mergeCell ref="H3:H29"/>
    <mergeCell ref="B35:K35"/>
  </mergeCells>
  <phoneticPr fontId="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57B66-0283-43A4-B33A-10296C952339}">
  <dimension ref="A1:AA37"/>
  <sheetViews>
    <sheetView zoomScaleNormal="100" workbookViewId="0">
      <selection activeCell="A18" sqref="A18:AA18"/>
    </sheetView>
  </sheetViews>
  <sheetFormatPr baseColWidth="10" defaultColWidth="8.83203125" defaultRowHeight="14"/>
  <cols>
    <col min="1" max="1" width="8.33203125" style="1" bestFit="1" customWidth="1"/>
    <col min="2" max="2" width="10.33203125" style="1" bestFit="1" customWidth="1"/>
    <col min="3" max="3" width="10.6640625" style="1" bestFit="1" customWidth="1"/>
    <col min="4" max="4" width="7.83203125" style="1" bestFit="1" customWidth="1"/>
    <col min="5" max="5" width="13" style="1" bestFit="1" customWidth="1"/>
    <col min="6" max="6" width="10.33203125" style="1" bestFit="1" customWidth="1"/>
    <col min="7" max="7" width="7.5" style="1" bestFit="1" customWidth="1"/>
    <col min="8" max="8" width="7.33203125" style="1" bestFit="1" customWidth="1"/>
    <col min="9" max="9" width="11.1640625" style="1" bestFit="1" customWidth="1"/>
    <col min="10" max="10" width="17.5" style="1" bestFit="1" customWidth="1"/>
    <col min="11" max="11" width="11.1640625" style="1" bestFit="1" customWidth="1"/>
    <col min="12" max="12" width="7.5" style="1" bestFit="1" customWidth="1"/>
    <col min="13" max="13" width="17" style="1" bestFit="1" customWidth="1"/>
    <col min="14" max="14" width="2.83203125" style="1" customWidth="1"/>
    <col min="15" max="16" width="14.1640625" style="1" bestFit="1" customWidth="1"/>
    <col min="17" max="18" width="18.1640625" style="1" bestFit="1" customWidth="1"/>
    <col min="19" max="19" width="10.5" style="1" bestFit="1" customWidth="1"/>
    <col min="20" max="21" width="14.1640625" style="1" bestFit="1" customWidth="1"/>
    <col min="22" max="23" width="18.1640625" style="1" bestFit="1" customWidth="1"/>
    <col min="24" max="25" width="13.83203125" style="1" bestFit="1" customWidth="1"/>
    <col min="26" max="27" width="18.1640625" style="1" bestFit="1" customWidth="1"/>
    <col min="28" max="16384" width="8.83203125" style="1"/>
  </cols>
  <sheetData>
    <row r="1" spans="1:11">
      <c r="A1" s="115" t="s">
        <v>218</v>
      </c>
      <c r="B1" s="115"/>
      <c r="C1" s="115"/>
      <c r="D1" s="115"/>
      <c r="E1" s="115"/>
      <c r="F1" s="115"/>
      <c r="G1" s="115"/>
      <c r="H1" s="115"/>
      <c r="I1" s="115"/>
      <c r="J1" s="115"/>
      <c r="K1" s="115"/>
    </row>
    <row r="2" spans="1:11">
      <c r="A2" s="24" t="s">
        <v>59</v>
      </c>
      <c r="B2" s="24" t="s">
        <v>96</v>
      </c>
      <c r="C2" s="24" t="s">
        <v>94</v>
      </c>
      <c r="D2" s="24" t="s">
        <v>100</v>
      </c>
      <c r="E2" s="24" t="s">
        <v>98</v>
      </c>
      <c r="F2" s="24" t="s">
        <v>31</v>
      </c>
      <c r="G2" s="24" t="s">
        <v>32</v>
      </c>
      <c r="H2" s="24" t="s">
        <v>37</v>
      </c>
      <c r="I2" s="24" t="s">
        <v>104</v>
      </c>
      <c r="J2" s="24" t="s">
        <v>206</v>
      </c>
      <c r="K2" s="24" t="s">
        <v>207</v>
      </c>
    </row>
    <row r="3" spans="1:11">
      <c r="A3" s="20">
        <v>2025</v>
      </c>
      <c r="B3" s="94">
        <v>318115.25980984</v>
      </c>
      <c r="C3" s="95">
        <v>12.670169048324572</v>
      </c>
      <c r="D3" s="28">
        <v>5.6042297765578057</v>
      </c>
      <c r="E3" s="95">
        <v>11.830102752041151</v>
      </c>
      <c r="F3" s="28">
        <v>8.0868167848814227</v>
      </c>
      <c r="G3" s="95">
        <v>10.059856222583651</v>
      </c>
      <c r="H3" s="28">
        <v>8.8132000134469202</v>
      </c>
      <c r="I3" s="33">
        <v>16.785541649001278</v>
      </c>
      <c r="J3" s="28">
        <f t="shared" ref="J3:J13" si="0">D3*$C$16+E3*$D$16+F3*$E$16+G3*$F$16+H3*$G$16+I3*$H$16+$B$16</f>
        <v>12.664787853213051</v>
      </c>
      <c r="K3" s="96">
        <f>(C3-J3)/C3</f>
        <v>4.247137580404297E-4</v>
      </c>
    </row>
    <row r="4" spans="1:11">
      <c r="A4" s="20">
        <v>2026</v>
      </c>
      <c r="B4" s="94">
        <v>321336.65866457002</v>
      </c>
      <c r="C4" s="95">
        <v>12.680244633412221</v>
      </c>
      <c r="D4" s="28">
        <v>5.6061701114634763</v>
      </c>
      <c r="E4" s="95">
        <v>11.930075459303</v>
      </c>
      <c r="F4" s="28">
        <v>8.2352025104582545</v>
      </c>
      <c r="G4" s="95">
        <v>10.106402927896658</v>
      </c>
      <c r="H4" s="28">
        <v>8.8368917388475392</v>
      </c>
      <c r="I4" s="33">
        <v>16.811790395921943</v>
      </c>
      <c r="J4" s="28">
        <f t="shared" si="0"/>
        <v>12.674897907592243</v>
      </c>
      <c r="K4" s="96">
        <f>(C4-J4)/C4</f>
        <v>4.2165793914489795E-4</v>
      </c>
    </row>
    <row r="5" spans="1:11">
      <c r="A5" s="20">
        <v>2027</v>
      </c>
      <c r="B5" s="94">
        <v>324590.67906215001</v>
      </c>
      <c r="C5" s="95">
        <v>12.690320218499847</v>
      </c>
      <c r="D5" s="28">
        <v>5.6081104463692766</v>
      </c>
      <c r="E5" s="95">
        <v>12.030048166564914</v>
      </c>
      <c r="F5" s="28">
        <v>8.383588236038042</v>
      </c>
      <c r="G5" s="95">
        <v>10.152949633209174</v>
      </c>
      <c r="H5" s="28">
        <v>8.8605834642488226</v>
      </c>
      <c r="I5" s="33">
        <v>16.838039142842607</v>
      </c>
      <c r="J5" s="28">
        <f t="shared" si="0"/>
        <v>12.685007961971614</v>
      </c>
      <c r="K5" s="96">
        <f t="shared" ref="K5:K13" si="1">(C5-J5)/C5</f>
        <v>4.1860697261911017E-4</v>
      </c>
    </row>
    <row r="6" spans="1:11">
      <c r="A6" s="20">
        <v>2028</v>
      </c>
      <c r="B6" s="94">
        <v>327877.65134513</v>
      </c>
      <c r="C6" s="95">
        <v>12.700395803587504</v>
      </c>
      <c r="D6" s="28">
        <v>5.6100507812764233</v>
      </c>
      <c r="E6" s="95">
        <v>12.130020873826789</v>
      </c>
      <c r="F6" s="28">
        <v>8.5319739616163996</v>
      </c>
      <c r="G6" s="95">
        <v>10.199496338522188</v>
      </c>
      <c r="H6" s="28">
        <v>8.8842751896487613</v>
      </c>
      <c r="I6" s="33">
        <v>16.864287889763272</v>
      </c>
      <c r="J6" s="28">
        <f t="shared" si="0"/>
        <v>12.69511801635209</v>
      </c>
      <c r="K6" s="96">
        <f t="shared" si="1"/>
        <v>4.1556084684568178E-4</v>
      </c>
    </row>
    <row r="7" spans="1:11">
      <c r="A7" s="20">
        <v>2029</v>
      </c>
      <c r="B7" s="94">
        <v>331197.90920125</v>
      </c>
      <c r="C7" s="95">
        <v>12.710471388675158</v>
      </c>
      <c r="D7" s="28">
        <v>5.6119911161720069</v>
      </c>
      <c r="E7" s="95">
        <v>12.22999358108869</v>
      </c>
      <c r="F7" s="28">
        <v>8.6803596871951019</v>
      </c>
      <c r="G7" s="95">
        <v>10.246043043834858</v>
      </c>
      <c r="H7" s="28">
        <v>8.9079669150503271</v>
      </c>
      <c r="I7" s="33">
        <v>16.89053663668394</v>
      </c>
      <c r="J7" s="28">
        <f t="shared" si="0"/>
        <v>12.705228070721869</v>
      </c>
      <c r="K7" s="96">
        <f t="shared" si="1"/>
        <v>4.1251955123870656E-4</v>
      </c>
    </row>
    <row r="8" spans="1:11">
      <c r="A8" s="20">
        <v>2030</v>
      </c>
      <c r="B8" s="94">
        <v>334551.78969735</v>
      </c>
      <c r="C8" s="95">
        <v>12.720546973762788</v>
      </c>
      <c r="D8" s="28">
        <v>5.6139314510655645</v>
      </c>
      <c r="E8" s="95">
        <v>12.32996628835058</v>
      </c>
      <c r="F8" s="28">
        <v>8.828745412773694</v>
      </c>
      <c r="G8" s="95">
        <v>10.292589749147689</v>
      </c>
      <c r="H8" s="28">
        <v>8.9316586404509533</v>
      </c>
      <c r="I8" s="33">
        <v>16.916785383604598</v>
      </c>
      <c r="J8" s="28">
        <f t="shared" si="0"/>
        <v>12.71533812508962</v>
      </c>
      <c r="K8" s="96">
        <f t="shared" si="1"/>
        <v>4.0948307363766864E-4</v>
      </c>
    </row>
    <row r="9" spans="1:11">
      <c r="A9" s="20">
        <v>2031</v>
      </c>
      <c r="B9" s="94">
        <v>337939.63331360999</v>
      </c>
      <c r="C9" s="95">
        <v>12.730622558850461</v>
      </c>
      <c r="D9" s="28">
        <v>5.615871785988837</v>
      </c>
      <c r="E9" s="95">
        <v>12.429938995612487</v>
      </c>
      <c r="F9" s="28">
        <v>8.9771311383523322</v>
      </c>
      <c r="G9" s="95">
        <v>10.339136454460562</v>
      </c>
      <c r="H9" s="28">
        <v>8.9553503658519631</v>
      </c>
      <c r="I9" s="33">
        <v>16.94303413052527</v>
      </c>
      <c r="J9" s="28">
        <f t="shared" si="0"/>
        <v>12.725448179485429</v>
      </c>
      <c r="K9" s="96">
        <f t="shared" si="1"/>
        <v>4.064514002447417E-4</v>
      </c>
    </row>
    <row r="10" spans="1:11">
      <c r="A10" s="20">
        <v>2032</v>
      </c>
      <c r="B10" s="94">
        <v>341361.78397803998</v>
      </c>
      <c r="C10" s="95">
        <v>12.740698143938101</v>
      </c>
      <c r="D10" s="28">
        <v>5.6178121208865459</v>
      </c>
      <c r="E10" s="95">
        <v>12.529911702874363</v>
      </c>
      <c r="F10" s="28">
        <v>9.125516863931594</v>
      </c>
      <c r="G10" s="95">
        <v>10.385683159773395</v>
      </c>
      <c r="H10" s="28">
        <v>8.9790420912519462</v>
      </c>
      <c r="I10" s="33">
        <v>16.969282877445931</v>
      </c>
      <c r="J10" s="28">
        <f t="shared" si="0"/>
        <v>12.735558233857009</v>
      </c>
      <c r="K10" s="96">
        <f t="shared" si="1"/>
        <v>4.0342452376023662E-4</v>
      </c>
    </row>
    <row r="11" spans="1:11">
      <c r="A11" s="20">
        <v>2033</v>
      </c>
      <c r="B11" s="94">
        <v>344818.58910148003</v>
      </c>
      <c r="C11" s="95">
        <v>12.750773729025745</v>
      </c>
      <c r="D11" s="28">
        <v>5.6197524557984906</v>
      </c>
      <c r="E11" s="95">
        <v>12.629884410136262</v>
      </c>
      <c r="F11" s="28">
        <v>9.2739025895097615</v>
      </c>
      <c r="G11" s="95">
        <v>10.432229865086356</v>
      </c>
      <c r="H11" s="28">
        <v>9.0027338166535475</v>
      </c>
      <c r="I11" s="33">
        <v>16.995531624366595</v>
      </c>
      <c r="J11" s="28">
        <f t="shared" si="0"/>
        <v>12.7456682882422</v>
      </c>
      <c r="K11" s="96">
        <f t="shared" si="1"/>
        <v>4.0040242984809267E-4</v>
      </c>
    </row>
    <row r="12" spans="1:11">
      <c r="A12" s="20">
        <v>2034</v>
      </c>
      <c r="B12" s="94">
        <v>348310.39961282001</v>
      </c>
      <c r="C12" s="95">
        <v>12.760849314113399</v>
      </c>
      <c r="D12" s="28">
        <v>5.6216927907138539</v>
      </c>
      <c r="E12" s="95">
        <v>12.729857117398154</v>
      </c>
      <c r="F12" s="28">
        <v>9.4222883150878598</v>
      </c>
      <c r="G12" s="95">
        <v>10.478776570399193</v>
      </c>
      <c r="H12" s="28">
        <v>9.0264255420536212</v>
      </c>
      <c r="I12" s="33">
        <v>17.02178037128726</v>
      </c>
      <c r="J12" s="28">
        <f t="shared" si="0"/>
        <v>12.755778342630467</v>
      </c>
      <c r="K12" s="96">
        <f t="shared" si="1"/>
        <v>3.9738510800553745E-4</v>
      </c>
    </row>
    <row r="13" spans="1:11">
      <c r="A13" s="20">
        <v>2035</v>
      </c>
      <c r="B13" s="94">
        <v>351837.56999463</v>
      </c>
      <c r="C13" s="95">
        <v>12.770924899201043</v>
      </c>
      <c r="D13" s="28">
        <v>5.6236331256077863</v>
      </c>
      <c r="E13" s="95">
        <v>12.829829824660036</v>
      </c>
      <c r="F13" s="28">
        <v>9.5706740406668604</v>
      </c>
      <c r="G13" s="95">
        <v>10.525323275712083</v>
      </c>
      <c r="H13" s="28">
        <v>9.0501172674542794</v>
      </c>
      <c r="I13" s="33">
        <v>17.048029118207925</v>
      </c>
      <c r="J13" s="28">
        <f t="shared" si="0"/>
        <v>12.765888396998557</v>
      </c>
      <c r="K13" s="96">
        <f t="shared" si="1"/>
        <v>3.9437254875732537E-4</v>
      </c>
    </row>
    <row r="14" spans="1:11">
      <c r="B14" s="97"/>
      <c r="C14" s="103"/>
      <c r="D14" s="103"/>
      <c r="E14" s="103"/>
      <c r="F14" s="103"/>
      <c r="G14" s="103"/>
      <c r="H14" s="103"/>
      <c r="I14" s="98"/>
      <c r="J14" s="98"/>
      <c r="K14" s="99"/>
    </row>
    <row r="15" spans="1:11" ht="30">
      <c r="A15" s="119" t="s">
        <v>182</v>
      </c>
      <c r="B15" s="105" t="s">
        <v>92</v>
      </c>
      <c r="C15" s="106" t="s">
        <v>29</v>
      </c>
      <c r="D15" s="106" t="s">
        <v>30</v>
      </c>
      <c r="E15" s="106" t="s">
        <v>31</v>
      </c>
      <c r="F15" s="106" t="s">
        <v>32</v>
      </c>
      <c r="G15" s="106" t="s">
        <v>37</v>
      </c>
      <c r="H15" s="106" t="s">
        <v>215</v>
      </c>
      <c r="I15" s="107" t="s">
        <v>208</v>
      </c>
      <c r="J15" s="108" t="s">
        <v>216</v>
      </c>
    </row>
    <row r="16" spans="1:11">
      <c r="A16" s="119"/>
      <c r="B16" s="102">
        <v>6.5960000000000001</v>
      </c>
      <c r="C16" s="102">
        <v>0.94299999999999995</v>
      </c>
      <c r="D16" s="102">
        <v>0.151</v>
      </c>
      <c r="E16" s="102">
        <v>-2.4E-2</v>
      </c>
      <c r="F16" s="102">
        <v>-9.9000000000000005E-2</v>
      </c>
      <c r="G16" s="102">
        <v>0.107</v>
      </c>
      <c r="H16" s="102">
        <v>-4.4999999999999998E-2</v>
      </c>
      <c r="I16" s="104">
        <f>EXP(1)</f>
        <v>2.7182818284590451</v>
      </c>
      <c r="J16" s="107">
        <v>0.14000000000000001</v>
      </c>
    </row>
    <row r="17" spans="1:27" ht="14" customHeight="1"/>
    <row r="18" spans="1:27" ht="14" customHeight="1">
      <c r="A18" s="115" t="s">
        <v>219</v>
      </c>
      <c r="B18" s="115"/>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5"/>
      <c r="AA18" s="115"/>
    </row>
    <row r="19" spans="1:27" s="100" customFormat="1">
      <c r="A19" s="116" t="s">
        <v>214</v>
      </c>
      <c r="B19" s="116"/>
      <c r="C19" s="116"/>
      <c r="D19" s="116"/>
      <c r="E19" s="116"/>
      <c r="F19" s="116"/>
      <c r="G19" s="116"/>
      <c r="H19" s="116"/>
      <c r="I19" s="116"/>
      <c r="J19" s="116"/>
      <c r="K19" s="116"/>
      <c r="L19" s="116"/>
      <c r="M19" s="116"/>
      <c r="N19" s="116"/>
      <c r="O19" s="113" t="s">
        <v>62</v>
      </c>
      <c r="P19" s="113"/>
      <c r="Q19" s="113"/>
      <c r="R19" s="114"/>
      <c r="S19" s="117" t="s">
        <v>217</v>
      </c>
      <c r="T19" s="112" t="s">
        <v>63</v>
      </c>
      <c r="U19" s="113"/>
      <c r="V19" s="113"/>
      <c r="W19" s="114"/>
      <c r="X19" s="112" t="s">
        <v>66</v>
      </c>
      <c r="Y19" s="113"/>
      <c r="Z19" s="113"/>
      <c r="AA19" s="114"/>
    </row>
    <row r="20" spans="1:27" s="100" customFormat="1" ht="42">
      <c r="A20" s="18" t="s">
        <v>59</v>
      </c>
      <c r="B20" s="18" t="s">
        <v>95</v>
      </c>
      <c r="C20" s="18" t="s">
        <v>93</v>
      </c>
      <c r="D20" s="18" t="s">
        <v>99</v>
      </c>
      <c r="E20" s="18" t="s">
        <v>97</v>
      </c>
      <c r="F20" s="18" t="s">
        <v>31</v>
      </c>
      <c r="G20" s="25" t="s">
        <v>32</v>
      </c>
      <c r="H20" s="25" t="s">
        <v>37</v>
      </c>
      <c r="I20" s="25" t="s">
        <v>104</v>
      </c>
      <c r="J20" s="18" t="s">
        <v>221</v>
      </c>
      <c r="K20" s="6" t="s">
        <v>21</v>
      </c>
      <c r="L20" s="101" t="s">
        <v>64</v>
      </c>
      <c r="M20" s="101" t="s">
        <v>65</v>
      </c>
      <c r="N20" s="116"/>
      <c r="O20" s="110" t="s">
        <v>210</v>
      </c>
      <c r="P20" s="101" t="s">
        <v>211</v>
      </c>
      <c r="Q20" s="101" t="s">
        <v>212</v>
      </c>
      <c r="R20" s="101" t="s">
        <v>213</v>
      </c>
      <c r="S20" s="118"/>
      <c r="T20" s="101" t="s">
        <v>210</v>
      </c>
      <c r="U20" s="101" t="s">
        <v>211</v>
      </c>
      <c r="V20" s="101" t="s">
        <v>212</v>
      </c>
      <c r="W20" s="101" t="s">
        <v>213</v>
      </c>
      <c r="X20" s="101" t="s">
        <v>210</v>
      </c>
      <c r="Y20" s="101" t="s">
        <v>211</v>
      </c>
      <c r="Z20" s="101" t="s">
        <v>212</v>
      </c>
      <c r="AA20" s="101" t="s">
        <v>213</v>
      </c>
    </row>
    <row r="21" spans="1:27">
      <c r="A21" s="20">
        <v>2025</v>
      </c>
      <c r="B21" s="94">
        <v>318115.25980984</v>
      </c>
      <c r="C21" s="95">
        <v>12.670169048324572</v>
      </c>
      <c r="D21" s="28">
        <v>5.6042297765578057</v>
      </c>
      <c r="E21" s="95">
        <v>11.830102752041151</v>
      </c>
      <c r="F21" s="28">
        <v>8.0868167848814227</v>
      </c>
      <c r="G21" s="86">
        <f>'7-Simulation Setting'!K19</f>
        <v>10.101729368264946</v>
      </c>
      <c r="H21" s="87">
        <f>'7-Simulation Setting'!N19</f>
        <v>8.8568598410915218</v>
      </c>
      <c r="I21" s="88">
        <f>'7-Simulation Setting'!T19</f>
        <v>16.822181273166656</v>
      </c>
      <c r="J21" s="28">
        <f t="shared" ref="J21:J31" si="2">D21*$C$16+E21*$D$16+F21*$E$16+G21*$F$16+H21*$G$16+I21*$H$16+$B$16</f>
        <v>12.663665230261135</v>
      </c>
      <c r="K21" s="12">
        <v>137324.60091082999</v>
      </c>
      <c r="L21" s="89">
        <f t="shared" ref="L21:L31" si="3">B21-$I$16^J21</f>
        <v>2062.250253414968</v>
      </c>
      <c r="M21" s="90">
        <f>L21/B21</f>
        <v>6.48271401581842E-3</v>
      </c>
      <c r="N21" s="123"/>
      <c r="O21" s="109">
        <f>$L21*$K21*0.47</f>
        <v>133102915.72338018</v>
      </c>
      <c r="P21" s="91">
        <f>$L21*$K21*0.88</f>
        <v>249213969.86505228</v>
      </c>
      <c r="Q21" s="91">
        <f>$L21*$K21</f>
        <v>283197693.02846849</v>
      </c>
      <c r="R21" s="91">
        <f>$L21*$K21*3</f>
        <v>849593079.08540547</v>
      </c>
      <c r="S21" s="4">
        <v>0</v>
      </c>
      <c r="T21" s="91">
        <f t="shared" ref="T21:W22" si="4">O21/((1+3%)^$S21)</f>
        <v>133102915.72338018</v>
      </c>
      <c r="U21" s="91">
        <f t="shared" si="4"/>
        <v>249213969.86505228</v>
      </c>
      <c r="V21" s="91">
        <f t="shared" si="4"/>
        <v>283197693.02846849</v>
      </c>
      <c r="W21" s="92">
        <f t="shared" si="4"/>
        <v>849593079.08540547</v>
      </c>
      <c r="X21" s="93">
        <f t="shared" ref="X21:X31" si="5">T21*$J$16</f>
        <v>18634408.201273225</v>
      </c>
      <c r="Y21" s="93">
        <f t="shared" ref="Y21:Y31" si="6">U21*$J$16</f>
        <v>34889955.781107321</v>
      </c>
      <c r="Z21" s="93">
        <f t="shared" ref="Z21:Z31" si="7">V21*$J$16</f>
        <v>39647677.023985595</v>
      </c>
      <c r="AA21" s="93">
        <f t="shared" ref="AA21:AA31" si="8">W21*$J$16</f>
        <v>118943031.07195678</v>
      </c>
    </row>
    <row r="22" spans="1:27">
      <c r="A22" s="20">
        <v>2026</v>
      </c>
      <c r="B22" s="94">
        <v>321336.65866457002</v>
      </c>
      <c r="C22" s="95">
        <v>12.680244633412221</v>
      </c>
      <c r="D22" s="28">
        <v>5.6061701114634763</v>
      </c>
      <c r="E22" s="95">
        <v>11.930075459303</v>
      </c>
      <c r="F22" s="28">
        <v>8.2352025104582545</v>
      </c>
      <c r="G22" s="86">
        <f>'7-Simulation Setting'!K20</f>
        <v>10.148374941146278</v>
      </c>
      <c r="H22" s="87">
        <f>'7-Simulation Setting'!N20</f>
        <v>8.8801693108113309</v>
      </c>
      <c r="I22" s="88">
        <f>'7-Simulation Setting'!T20</f>
        <v>16.848648984424347</v>
      </c>
      <c r="J22" s="28">
        <f t="shared" si="2"/>
        <v>12.673714741998047</v>
      </c>
      <c r="K22" s="12">
        <v>151763.01317829001</v>
      </c>
      <c r="L22" s="89">
        <f t="shared" si="3"/>
        <v>2091.4575615353533</v>
      </c>
      <c r="M22" s="90">
        <f>L22/B22</f>
        <v>6.5086180027736544E-3</v>
      </c>
      <c r="N22" s="124"/>
      <c r="O22" s="109">
        <f>$L22*$K22*0.47</f>
        <v>149180773.69236833</v>
      </c>
      <c r="P22" s="91">
        <f>$L22*$K22*0.88</f>
        <v>279317193.29634923</v>
      </c>
      <c r="Q22" s="91">
        <f>$L22*$K22</f>
        <v>317405901.47312415</v>
      </c>
      <c r="R22" s="91">
        <f>$L22*$K22*3</f>
        <v>952217704.41937244</v>
      </c>
      <c r="S22" s="4">
        <v>1</v>
      </c>
      <c r="T22" s="91">
        <f t="shared" si="4"/>
        <v>144835702.61394984</v>
      </c>
      <c r="U22" s="91">
        <f t="shared" si="4"/>
        <v>271181741.06441671</v>
      </c>
      <c r="V22" s="91">
        <f t="shared" si="4"/>
        <v>308161069.39138263</v>
      </c>
      <c r="W22" s="92">
        <f t="shared" si="4"/>
        <v>924483208.17414796</v>
      </c>
      <c r="X22" s="93">
        <f t="shared" si="5"/>
        <v>20276998.36595298</v>
      </c>
      <c r="Y22" s="93">
        <f t="shared" si="6"/>
        <v>37965443.749018341</v>
      </c>
      <c r="Z22" s="93">
        <f t="shared" si="7"/>
        <v>43142549.71479357</v>
      </c>
      <c r="AA22" s="93">
        <f t="shared" si="8"/>
        <v>129427649.14438073</v>
      </c>
    </row>
    <row r="23" spans="1:27">
      <c r="A23" s="20">
        <v>2027</v>
      </c>
      <c r="B23" s="94">
        <v>324590.67906215001</v>
      </c>
      <c r="C23" s="95">
        <v>12.690320218499847</v>
      </c>
      <c r="D23" s="28">
        <v>5.6081104463692766</v>
      </c>
      <c r="E23" s="95">
        <v>12.030048166564914</v>
      </c>
      <c r="F23" s="28">
        <v>8.383588236038042</v>
      </c>
      <c r="G23" s="86">
        <f>'7-Simulation Setting'!K21</f>
        <v>10.195020742589527</v>
      </c>
      <c r="H23" s="87">
        <f>'7-Simulation Setting'!N21</f>
        <v>8.903482056020291</v>
      </c>
      <c r="I23" s="88">
        <f>'7-Simulation Setting'!T21</f>
        <v>16.875132366615912</v>
      </c>
      <c r="J23" s="28">
        <f t="shared" si="2"/>
        <v>12.683763876392707</v>
      </c>
      <c r="K23" s="12">
        <v>167719.49101756999</v>
      </c>
      <c r="L23" s="89">
        <f t="shared" si="3"/>
        <v>2121.1663921546424</v>
      </c>
      <c r="M23" s="90">
        <f t="shared" ref="M23:M31" si="9">L23/B23</f>
        <v>6.5348961907452019E-3</v>
      </c>
      <c r="N23" s="124"/>
      <c r="O23" s="109">
        <f t="shared" ref="O23:O31" si="10">$L23*$K23*0.47</f>
        <v>167207645.39820337</v>
      </c>
      <c r="P23" s="91">
        <f t="shared" ref="P23:P31" si="11">$L23*$K23*0.88</f>
        <v>313069633.93706167</v>
      </c>
      <c r="Q23" s="91">
        <f t="shared" ref="Q23:Q31" si="12">$L23*$K23</f>
        <v>355760947.65575188</v>
      </c>
      <c r="R23" s="91">
        <f>$L23*$K23*3</f>
        <v>1067282842.9672556</v>
      </c>
      <c r="S23" s="4">
        <v>2</v>
      </c>
      <c r="T23" s="91">
        <f t="shared" ref="T23:W31" si="13">O23/((1+3%)^$S23)</f>
        <v>157609242.52823395</v>
      </c>
      <c r="U23" s="91">
        <f t="shared" si="13"/>
        <v>295098156.22307634</v>
      </c>
      <c r="V23" s="91">
        <f t="shared" si="13"/>
        <v>335338813.88985944</v>
      </c>
      <c r="W23" s="92">
        <f t="shared" si="13"/>
        <v>1006016441.6695783</v>
      </c>
      <c r="X23" s="93">
        <f t="shared" si="5"/>
        <v>22065293.953952756</v>
      </c>
      <c r="Y23" s="93">
        <f t="shared" si="6"/>
        <v>41313741.871230692</v>
      </c>
      <c r="Z23" s="93">
        <f t="shared" si="7"/>
        <v>46947433.944580324</v>
      </c>
      <c r="AA23" s="93">
        <f t="shared" si="8"/>
        <v>140842301.83374098</v>
      </c>
    </row>
    <row r="24" spans="1:27">
      <c r="A24" s="20">
        <v>2028</v>
      </c>
      <c r="B24" s="94">
        <v>327877.65134513</v>
      </c>
      <c r="C24" s="95">
        <v>12.700395803587504</v>
      </c>
      <c r="D24" s="28">
        <v>5.6100507812764233</v>
      </c>
      <c r="E24" s="95">
        <v>12.130020873826789</v>
      </c>
      <c r="F24" s="28">
        <v>8.5319739616163996</v>
      </c>
      <c r="G24" s="86">
        <f>'7-Simulation Setting'!K22</f>
        <v>10.241666773101304</v>
      </c>
      <c r="H24" s="87">
        <f>'7-Simulation Setting'!N22</f>
        <v>8.9267980498750017</v>
      </c>
      <c r="I24" s="88">
        <f>'7-Simulation Setting'!T22</f>
        <v>16.901630885446707</v>
      </c>
      <c r="J24" s="28">
        <f t="shared" si="2"/>
        <v>12.693812654567211</v>
      </c>
      <c r="K24" s="12">
        <v>185353.64498953999</v>
      </c>
      <c r="L24" s="89">
        <f t="shared" si="3"/>
        <v>2151.3782477569766</v>
      </c>
      <c r="M24" s="90">
        <f t="shared" si="9"/>
        <v>6.5615275665507214E-3</v>
      </c>
      <c r="N24" s="124"/>
      <c r="O24" s="109">
        <f t="shared" si="10"/>
        <v>187419925.98729366</v>
      </c>
      <c r="P24" s="91">
        <f t="shared" si="11"/>
        <v>350913903.9762094</v>
      </c>
      <c r="Q24" s="91">
        <f t="shared" si="12"/>
        <v>398765799.97296524</v>
      </c>
      <c r="R24" s="91">
        <f>$L24*$K24*3</f>
        <v>1196297399.9188957</v>
      </c>
      <c r="S24" s="4">
        <v>3</v>
      </c>
      <c r="T24" s="91">
        <f t="shared" si="13"/>
        <v>171515782.06385827</v>
      </c>
      <c r="U24" s="91">
        <f>P24/((1+3%)^$S24)</f>
        <v>321135932.37488359</v>
      </c>
      <c r="V24" s="91">
        <f t="shared" si="13"/>
        <v>364927195.88054955</v>
      </c>
      <c r="W24" s="92">
        <f t="shared" si="13"/>
        <v>1094781587.6416485</v>
      </c>
      <c r="X24" s="93">
        <f t="shared" si="5"/>
        <v>24012209.488940161</v>
      </c>
      <c r="Y24" s="93">
        <f t="shared" si="6"/>
        <v>44959030.532483704</v>
      </c>
      <c r="Z24" s="93">
        <f t="shared" si="7"/>
        <v>51089807.423276938</v>
      </c>
      <c r="AA24" s="93">
        <f t="shared" si="8"/>
        <v>153269422.26983082</v>
      </c>
    </row>
    <row r="25" spans="1:27">
      <c r="A25" s="20">
        <v>2029</v>
      </c>
      <c r="B25" s="94">
        <v>331197.90920125</v>
      </c>
      <c r="C25" s="95">
        <v>12.710471388675158</v>
      </c>
      <c r="D25" s="28">
        <v>5.6119911161720069</v>
      </c>
      <c r="E25" s="95">
        <v>12.22999358108869</v>
      </c>
      <c r="F25" s="28">
        <v>8.6803596871951019</v>
      </c>
      <c r="G25" s="86">
        <f>'7-Simulation Setting'!K23</f>
        <v>10.288313033187485</v>
      </c>
      <c r="H25" s="87">
        <f>'7-Simulation Setting'!N23</f>
        <v>8.9501172657358516</v>
      </c>
      <c r="I25" s="88">
        <f>'7-Simulation Setting'!T23</f>
        <v>16.928144021815097</v>
      </c>
      <c r="J25" s="28">
        <f t="shared" si="2"/>
        <v>12.703861096968408</v>
      </c>
      <c r="K25" s="12">
        <v>204841.86723003001</v>
      </c>
      <c r="L25" s="89">
        <f t="shared" si="3"/>
        <v>2182.0947054977296</v>
      </c>
      <c r="M25" s="90">
        <f t="shared" si="9"/>
        <v>6.5884917895776803E-3</v>
      </c>
      <c r="N25" s="124"/>
      <c r="O25" s="109">
        <f t="shared" si="10"/>
        <v>210082646.35505116</v>
      </c>
      <c r="P25" s="91">
        <f t="shared" si="11"/>
        <v>393346231.47328728</v>
      </c>
      <c r="Q25" s="91">
        <f t="shared" si="12"/>
        <v>446984353.94691736</v>
      </c>
      <c r="R25" s="91">
        <f>$L25*$K25*3</f>
        <v>1340953061.8407521</v>
      </c>
      <c r="S25" s="4">
        <v>4</v>
      </c>
      <c r="T25" s="91">
        <f t="shared" si="13"/>
        <v>186655710.27831507</v>
      </c>
      <c r="U25" s="91">
        <f>P25/((1+3%)^$S25)</f>
        <v>349483032.01046228</v>
      </c>
      <c r="V25" s="91">
        <f t="shared" si="13"/>
        <v>397139809.10279804</v>
      </c>
      <c r="W25" s="92">
        <f t="shared" si="13"/>
        <v>1191419427.3083942</v>
      </c>
      <c r="X25" s="93">
        <f t="shared" si="5"/>
        <v>26131799.438964114</v>
      </c>
      <c r="Y25" s="93">
        <f t="shared" si="6"/>
        <v>48927624.481464721</v>
      </c>
      <c r="Z25" s="93">
        <f t="shared" si="7"/>
        <v>55599573.274391733</v>
      </c>
      <c r="AA25" s="93">
        <f t="shared" si="8"/>
        <v>166798719.82317519</v>
      </c>
    </row>
    <row r="26" spans="1:27">
      <c r="A26" s="20">
        <v>2030</v>
      </c>
      <c r="B26" s="94">
        <v>334551.78969735</v>
      </c>
      <c r="C26" s="95">
        <v>12.720546973762788</v>
      </c>
      <c r="D26" s="28">
        <v>5.6139314510655645</v>
      </c>
      <c r="E26" s="95">
        <v>12.32996628835058</v>
      </c>
      <c r="F26" s="28">
        <v>8.828745412773694</v>
      </c>
      <c r="G26" s="86">
        <f>'7-Simulation Setting'!K24</f>
        <v>10.33495952335624</v>
      </c>
      <c r="H26" s="87">
        <f>'7-Simulation Setting'!N24</f>
        <v>8.9734396771558309</v>
      </c>
      <c r="I26" s="88">
        <f>'7-Simulation Setting'!T24</f>
        <v>16.954671271453083</v>
      </c>
      <c r="J26" s="28">
        <f t="shared" si="2"/>
        <v>12.713909223417215</v>
      </c>
      <c r="K26" s="12">
        <v>226379.09587724999</v>
      </c>
      <c r="L26" s="89">
        <f t="shared" si="3"/>
        <v>2213.3174069762463</v>
      </c>
      <c r="M26" s="90">
        <f t="shared" si="9"/>
        <v>6.6157691428837036E-3</v>
      </c>
      <c r="N26" s="124"/>
      <c r="O26" s="109">
        <f t="shared" si="10"/>
        <v>235492932.93591112</v>
      </c>
      <c r="P26" s="91">
        <f t="shared" si="11"/>
        <v>440922938.26298255</v>
      </c>
      <c r="Q26" s="91">
        <f t="shared" si="12"/>
        <v>501048793.48066199</v>
      </c>
      <c r="R26" s="91">
        <f t="shared" ref="R26:R31" si="14">$L26*$K26*3</f>
        <v>1503146380.4419861</v>
      </c>
      <c r="S26" s="4">
        <v>5</v>
      </c>
      <c r="T26" s="91">
        <f t="shared" si="13"/>
        <v>203138272.61090776</v>
      </c>
      <c r="U26" s="91">
        <f t="shared" si="13"/>
        <v>380343999.78212523</v>
      </c>
      <c r="V26" s="91">
        <f t="shared" si="13"/>
        <v>432209090.66150594</v>
      </c>
      <c r="W26" s="92">
        <f t="shared" si="13"/>
        <v>1296627271.9845178</v>
      </c>
      <c r="X26" s="93">
        <f t="shared" si="5"/>
        <v>28439358.16552709</v>
      </c>
      <c r="Y26" s="93">
        <f t="shared" si="6"/>
        <v>53248159.969497539</v>
      </c>
      <c r="Z26" s="93">
        <f t="shared" si="7"/>
        <v>60509272.692610838</v>
      </c>
      <c r="AA26" s="93">
        <f t="shared" si="8"/>
        <v>181527818.07783252</v>
      </c>
    </row>
    <row r="27" spans="1:27">
      <c r="A27" s="20">
        <v>2031</v>
      </c>
      <c r="B27" s="94">
        <v>337939.63331360999</v>
      </c>
      <c r="C27" s="95">
        <v>12.730622558850461</v>
      </c>
      <c r="D27" s="28">
        <v>5.615871785988837</v>
      </c>
      <c r="E27" s="95">
        <v>12.429938995612487</v>
      </c>
      <c r="F27" s="28">
        <v>8.9771311383523322</v>
      </c>
      <c r="G27" s="86">
        <f>'7-Simulation Setting'!K25</f>
        <v>10.381606244116167</v>
      </c>
      <c r="H27" s="87">
        <f>'7-Simulation Setting'!N25</f>
        <v>8.9967652578884376</v>
      </c>
      <c r="I27" s="88">
        <f>'7-Simulation Setting'!T25</f>
        <v>16.981212144572819</v>
      </c>
      <c r="J27" s="28">
        <f t="shared" si="2"/>
        <v>12.723957053125288</v>
      </c>
      <c r="K27" s="12">
        <v>250180.76501251999</v>
      </c>
      <c r="L27" s="89">
        <f t="shared" si="3"/>
        <v>2245.0480581813026</v>
      </c>
      <c r="M27" s="90">
        <f t="shared" si="9"/>
        <v>6.6433405166711678E-3</v>
      </c>
      <c r="N27" s="124"/>
      <c r="O27" s="109">
        <f t="shared" si="10"/>
        <v>263983885.12226522</v>
      </c>
      <c r="P27" s="91">
        <f t="shared" si="11"/>
        <v>494267699.80339026</v>
      </c>
      <c r="Q27" s="91">
        <f t="shared" si="12"/>
        <v>561667840.68567073</v>
      </c>
      <c r="R27" s="91">
        <f t="shared" si="14"/>
        <v>1685003522.0570121</v>
      </c>
      <c r="S27" s="4">
        <v>6</v>
      </c>
      <c r="T27" s="91">
        <f t="shared" si="13"/>
        <v>221082347.8080835</v>
      </c>
      <c r="U27" s="91">
        <f t="shared" si="13"/>
        <v>413941417.17258191</v>
      </c>
      <c r="V27" s="91">
        <f t="shared" si="13"/>
        <v>470387974.05975217</v>
      </c>
      <c r="W27" s="92">
        <f t="shared" si="13"/>
        <v>1411163922.1792564</v>
      </c>
      <c r="X27" s="93">
        <f t="shared" si="5"/>
        <v>30951528.693131693</v>
      </c>
      <c r="Y27" s="93">
        <f t="shared" si="6"/>
        <v>57951798.404161476</v>
      </c>
      <c r="Z27" s="93">
        <f t="shared" si="7"/>
        <v>65854316.36836531</v>
      </c>
      <c r="AA27" s="93">
        <f t="shared" si="8"/>
        <v>197562949.10509592</v>
      </c>
    </row>
    <row r="28" spans="1:27">
      <c r="A28" s="20">
        <v>2032</v>
      </c>
      <c r="B28" s="94">
        <v>341361.78397803998</v>
      </c>
      <c r="C28" s="95">
        <v>12.740698143938101</v>
      </c>
      <c r="D28" s="28">
        <v>5.6178121208865459</v>
      </c>
      <c r="E28" s="95">
        <v>12.529911702874363</v>
      </c>
      <c r="F28" s="28">
        <v>9.125516863931594</v>
      </c>
      <c r="G28" s="86">
        <f>'7-Simulation Setting'!K26</f>
        <v>10.428253195976918</v>
      </c>
      <c r="H28" s="87">
        <f>'7-Simulation Setting'!N26</f>
        <v>9.0200939818802297</v>
      </c>
      <c r="I28" s="88">
        <f>'7-Simulation Setting'!T26</f>
        <v>17.007766165518809</v>
      </c>
      <c r="J28" s="28">
        <f t="shared" si="2"/>
        <v>12.734004604606806</v>
      </c>
      <c r="K28" s="12">
        <v>276484.95961918001</v>
      </c>
      <c r="L28" s="89">
        <f t="shared" si="3"/>
        <v>2277.2884647754254</v>
      </c>
      <c r="M28" s="90">
        <f t="shared" si="9"/>
        <v>6.6711874956744566E-3</v>
      </c>
      <c r="N28" s="124"/>
      <c r="O28" s="109">
        <f t="shared" si="10"/>
        <v>295928924.33558917</v>
      </c>
      <c r="P28" s="91">
        <f t="shared" si="11"/>
        <v>554079688.11769891</v>
      </c>
      <c r="Q28" s="91">
        <f t="shared" si="12"/>
        <v>629636009.22465789</v>
      </c>
      <c r="R28" s="91">
        <f t="shared" si="14"/>
        <v>1888908027.6739736</v>
      </c>
      <c r="S28" s="4">
        <v>7</v>
      </c>
      <c r="T28" s="91">
        <f t="shared" si="13"/>
        <v>240617296.33823717</v>
      </c>
      <c r="U28" s="91">
        <f t="shared" si="13"/>
        <v>450517491.01627392</v>
      </c>
      <c r="V28" s="91">
        <f t="shared" si="13"/>
        <v>511951694.33667493</v>
      </c>
      <c r="W28" s="92">
        <f t="shared" si="13"/>
        <v>1535855083.0100245</v>
      </c>
      <c r="X28" s="93">
        <f t="shared" si="5"/>
        <v>33686421.487353206</v>
      </c>
      <c r="Y28" s="93">
        <f t="shared" si="6"/>
        <v>63072448.742278352</v>
      </c>
      <c r="Z28" s="93">
        <f t="shared" si="7"/>
        <v>71673237.2071345</v>
      </c>
      <c r="AA28" s="93">
        <f t="shared" si="8"/>
        <v>215019711.62140346</v>
      </c>
    </row>
    <row r="29" spans="1:27">
      <c r="A29" s="20">
        <v>2033</v>
      </c>
      <c r="B29" s="94">
        <v>344818.58910148003</v>
      </c>
      <c r="C29" s="95">
        <v>12.750773729025745</v>
      </c>
      <c r="D29" s="28">
        <v>5.6197524557984906</v>
      </c>
      <c r="E29" s="95">
        <v>12.629884410136262</v>
      </c>
      <c r="F29" s="28">
        <v>9.2739025895097615</v>
      </c>
      <c r="G29" s="86">
        <f>'7-Simulation Setting'!K27</f>
        <v>10.474900379449398</v>
      </c>
      <c r="H29" s="87">
        <f>'7-Simulation Setting'!N27</f>
        <v>9.0434258232762001</v>
      </c>
      <c r="I29" s="88">
        <f>'7-Simulation Setting'!T27</f>
        <v>17.034332872426145</v>
      </c>
      <c r="J29" s="28">
        <f t="shared" si="2"/>
        <v>12.744051895866203</v>
      </c>
      <c r="K29" s="12">
        <v>305554.79711558</v>
      </c>
      <c r="L29" s="89">
        <f t="shared" si="3"/>
        <v>2310.0404750353191</v>
      </c>
      <c r="M29" s="90">
        <f t="shared" si="9"/>
        <v>6.6992921728923228E-3</v>
      </c>
      <c r="N29" s="124"/>
      <c r="O29" s="109">
        <f t="shared" si="10"/>
        <v>331746655.87875164</v>
      </c>
      <c r="P29" s="91">
        <f t="shared" si="11"/>
        <v>621142674.83681166</v>
      </c>
      <c r="Q29" s="91">
        <f t="shared" si="12"/>
        <v>705843948.678195</v>
      </c>
      <c r="R29" s="91">
        <f t="shared" si="14"/>
        <v>2117531846.034585</v>
      </c>
      <c r="S29" s="4">
        <v>8</v>
      </c>
      <c r="T29" s="91">
        <f t="shared" si="13"/>
        <v>261883873.60345408</v>
      </c>
      <c r="U29" s="91">
        <f t="shared" si="13"/>
        <v>490335763.34263748</v>
      </c>
      <c r="V29" s="91">
        <f t="shared" si="13"/>
        <v>557199731.07117891</v>
      </c>
      <c r="W29" s="92">
        <f t="shared" si="13"/>
        <v>1671599193.2135367</v>
      </c>
      <c r="X29" s="93">
        <f t="shared" si="5"/>
        <v>36663742.304483578</v>
      </c>
      <c r="Y29" s="93">
        <f t="shared" si="6"/>
        <v>68647006.86796926</v>
      </c>
      <c r="Z29" s="93">
        <f t="shared" si="7"/>
        <v>78007962.349965051</v>
      </c>
      <c r="AA29" s="93">
        <f t="shared" si="8"/>
        <v>234023887.04989517</v>
      </c>
    </row>
    <row r="30" spans="1:27">
      <c r="A30" s="20">
        <v>2034</v>
      </c>
      <c r="B30" s="94">
        <v>348310.39961282001</v>
      </c>
      <c r="C30" s="95">
        <v>12.760849314113399</v>
      </c>
      <c r="D30" s="28">
        <v>5.6216927907138539</v>
      </c>
      <c r="E30" s="95">
        <v>12.729857117398154</v>
      </c>
      <c r="F30" s="28">
        <v>9.4222883150878598</v>
      </c>
      <c r="G30" s="86">
        <f>'7-Simulation Setting'!K28</f>
        <v>10.521547795045134</v>
      </c>
      <c r="H30" s="87">
        <f>'7-Simulation Setting'!N28</f>
        <v>9.0667607564092236</v>
      </c>
      <c r="I30" s="88">
        <f>'7-Simulation Setting'!T28</f>
        <v>17.060911816884566</v>
      </c>
      <c r="J30" s="28">
        <f t="shared" si="2"/>
        <v>12.754098944274691</v>
      </c>
      <c r="K30" s="12">
        <v>337681.05928415997</v>
      </c>
      <c r="L30" s="89">
        <f t="shared" si="3"/>
        <v>2343.3060266833636</v>
      </c>
      <c r="M30" s="90">
        <f t="shared" si="9"/>
        <v>6.7276372720658645E-3</v>
      </c>
      <c r="N30" s="124"/>
      <c r="O30" s="109">
        <f t="shared" si="10"/>
        <v>371906328.8191753</v>
      </c>
      <c r="P30" s="91">
        <f t="shared" si="11"/>
        <v>696335253.95930696</v>
      </c>
      <c r="Q30" s="91">
        <f t="shared" si="12"/>
        <v>791290061.31739426</v>
      </c>
      <c r="R30" s="91">
        <f t="shared" si="14"/>
        <v>2373870183.9521828</v>
      </c>
      <c r="S30" s="4">
        <v>9</v>
      </c>
      <c r="T30" s="91">
        <f t="shared" si="13"/>
        <v>285035233.27150679</v>
      </c>
      <c r="U30" s="91">
        <f t="shared" si="13"/>
        <v>533682989.95516163</v>
      </c>
      <c r="V30" s="91">
        <f t="shared" si="13"/>
        <v>606457943.13086545</v>
      </c>
      <c r="W30" s="92">
        <f t="shared" si="13"/>
        <v>1819373829.3925965</v>
      </c>
      <c r="X30" s="93">
        <f t="shared" si="5"/>
        <v>39904932.658010952</v>
      </c>
      <c r="Y30" s="93">
        <f t="shared" si="6"/>
        <v>74715618.593722641</v>
      </c>
      <c r="Z30" s="93">
        <f t="shared" si="7"/>
        <v>84904112.038321167</v>
      </c>
      <c r="AA30" s="93">
        <f t="shared" si="8"/>
        <v>254712336.11496353</v>
      </c>
    </row>
    <row r="31" spans="1:27">
      <c r="A31" s="20">
        <v>2035</v>
      </c>
      <c r="B31" s="94">
        <v>351837.56999463</v>
      </c>
      <c r="C31" s="95">
        <v>12.770924899201043</v>
      </c>
      <c r="D31" s="28">
        <v>5.6236331256077863</v>
      </c>
      <c r="E31" s="95">
        <v>12.829829824660036</v>
      </c>
      <c r="F31" s="28">
        <v>9.5706740406668604</v>
      </c>
      <c r="G31" s="86">
        <f>'7-Simulation Setting'!K29</f>
        <v>10.568195443277087</v>
      </c>
      <c r="H31" s="87">
        <f>'7-Simulation Setting'!N29</f>
        <v>9.0900987558095441</v>
      </c>
      <c r="I31" s="88">
        <f>'7-Simulation Setting'!T29</f>
        <v>17.087502563608513</v>
      </c>
      <c r="J31" s="28">
        <f t="shared" si="2"/>
        <v>12.764145766620608</v>
      </c>
      <c r="K31" s="12">
        <v>373185.10092360998</v>
      </c>
      <c r="L31" s="89">
        <f t="shared" si="3"/>
        <v>2377.0871357768192</v>
      </c>
      <c r="M31" s="90">
        <f t="shared" si="9"/>
        <v>6.7562060976407382E-3</v>
      </c>
      <c r="N31" s="124"/>
      <c r="O31" s="109">
        <f t="shared" si="10"/>
        <v>416933946.254471</v>
      </c>
      <c r="P31" s="91">
        <f t="shared" si="11"/>
        <v>780642282.34879684</v>
      </c>
      <c r="Q31" s="91">
        <f t="shared" si="12"/>
        <v>887093502.66908729</v>
      </c>
      <c r="R31" s="91">
        <f t="shared" si="14"/>
        <v>2661280508.0072618</v>
      </c>
      <c r="S31" s="4">
        <v>10</v>
      </c>
      <c r="T31" s="91">
        <f t="shared" si="13"/>
        <v>310238012.32183015</v>
      </c>
      <c r="U31" s="91">
        <f t="shared" si="13"/>
        <v>580871172.00683093</v>
      </c>
      <c r="V31" s="91">
        <f t="shared" si="13"/>
        <v>660080877.28048968</v>
      </c>
      <c r="W31" s="92">
        <f t="shared" si="13"/>
        <v>1980242631.841469</v>
      </c>
      <c r="X31" s="93">
        <f t="shared" si="5"/>
        <v>43433321.725056224</v>
      </c>
      <c r="Y31" s="93">
        <f t="shared" si="6"/>
        <v>81321964.08095634</v>
      </c>
      <c r="Z31" s="93">
        <f t="shared" si="7"/>
        <v>92411322.819268569</v>
      </c>
      <c r="AA31" s="93">
        <f t="shared" si="8"/>
        <v>277233968.45780569</v>
      </c>
    </row>
    <row r="32" spans="1:27">
      <c r="A32" s="20" t="s">
        <v>87</v>
      </c>
      <c r="B32" s="94">
        <f t="shared" ref="B32:K32" si="15">AVERAGE(B21:B31)</f>
        <v>334721.62943462445</v>
      </c>
      <c r="C32" s="28">
        <f t="shared" si="15"/>
        <v>12.720546973762804</v>
      </c>
      <c r="D32" s="28">
        <f t="shared" si="15"/>
        <v>5.6139314510818243</v>
      </c>
      <c r="E32" s="28">
        <f t="shared" si="15"/>
        <v>12.329966288350583</v>
      </c>
      <c r="F32" s="28">
        <f t="shared" si="15"/>
        <v>8.8287454127737561</v>
      </c>
      <c r="G32" s="28">
        <f t="shared" si="15"/>
        <v>10.334960676319135</v>
      </c>
      <c r="H32" s="28">
        <f t="shared" si="15"/>
        <v>8.9734555250866794</v>
      </c>
      <c r="I32" s="28">
        <f t="shared" si="15"/>
        <v>16.954739487812063</v>
      </c>
      <c r="J32" s="28">
        <f t="shared" si="15"/>
        <v>12.713907735281667</v>
      </c>
      <c r="K32" s="94">
        <f t="shared" si="15"/>
        <v>237860.76319623273</v>
      </c>
      <c r="L32" s="94">
        <f t="shared" ref="L32:R32" si="16">AVERAGE(L21:L31)</f>
        <v>2215.8577025261952</v>
      </c>
      <c r="M32" s="90">
        <f t="shared" si="16"/>
        <v>6.6172436602994489E-3</v>
      </c>
      <c r="N32" s="124"/>
      <c r="O32" s="91">
        <f t="shared" si="16"/>
        <v>251180598.22749633</v>
      </c>
      <c r="P32" s="91">
        <f t="shared" si="16"/>
        <v>470295588.17063159</v>
      </c>
      <c r="Q32" s="91">
        <f t="shared" si="16"/>
        <v>534426804.73935407</v>
      </c>
      <c r="R32" s="91">
        <f t="shared" si="16"/>
        <v>1603280414.2180624</v>
      </c>
      <c r="S32" s="91"/>
      <c r="T32" s="91">
        <f t="shared" ref="T32:AA32" si="17">AVERAGE(T21:T31)</f>
        <v>210519489.92379609</v>
      </c>
      <c r="U32" s="91">
        <f t="shared" si="17"/>
        <v>394164151.34668201</v>
      </c>
      <c r="V32" s="91">
        <f t="shared" si="17"/>
        <v>447913808.34850234</v>
      </c>
      <c r="W32" s="91">
        <f t="shared" si="17"/>
        <v>1343741425.045507</v>
      </c>
      <c r="X32" s="93">
        <f>AVERAGE(X21:X31)</f>
        <v>29472728.589331452</v>
      </c>
      <c r="Y32" s="93">
        <f t="shared" si="17"/>
        <v>55182981.188535497</v>
      </c>
      <c r="Z32" s="93">
        <f t="shared" si="17"/>
        <v>62707933.168790318</v>
      </c>
      <c r="AA32" s="93">
        <f t="shared" si="17"/>
        <v>188123799.50637099</v>
      </c>
    </row>
    <row r="33" spans="1:27">
      <c r="A33" s="20" t="s">
        <v>190</v>
      </c>
      <c r="B33" s="94">
        <f t="shared" ref="B33:K33" si="18">SUM(B21:B31)</f>
        <v>3681937.9237808692</v>
      </c>
      <c r="C33" s="28">
        <f t="shared" si="18"/>
        <v>139.92601671139084</v>
      </c>
      <c r="D33" s="28">
        <f t="shared" si="18"/>
        <v>61.75324596190007</v>
      </c>
      <c r="E33" s="28">
        <f t="shared" si="18"/>
        <v>135.62962917185641</v>
      </c>
      <c r="F33" s="28">
        <f t="shared" si="18"/>
        <v>97.116199540511317</v>
      </c>
      <c r="G33" s="28">
        <f t="shared" si="18"/>
        <v>113.68456743951049</v>
      </c>
      <c r="H33" s="28">
        <f t="shared" si="18"/>
        <v>98.708010775953468</v>
      </c>
      <c r="I33" s="28">
        <f t="shared" si="18"/>
        <v>186.50213436593268</v>
      </c>
      <c r="J33" s="28">
        <f t="shared" si="18"/>
        <v>139.85298508809834</v>
      </c>
      <c r="K33" s="94">
        <f t="shared" si="18"/>
        <v>2616468.39515856</v>
      </c>
      <c r="L33" s="94">
        <f t="shared" ref="L33:R33" si="19">SUM(L21:L31)</f>
        <v>24374.434727788146</v>
      </c>
      <c r="M33" s="90">
        <f t="shared" si="19"/>
        <v>7.2789680263293938E-2</v>
      </c>
      <c r="N33" s="125"/>
      <c r="O33" s="91">
        <f t="shared" si="19"/>
        <v>2762986580.5024595</v>
      </c>
      <c r="P33" s="91">
        <f t="shared" si="19"/>
        <v>5173251469.8769474</v>
      </c>
      <c r="Q33" s="91">
        <f t="shared" si="19"/>
        <v>5878694852.1328945</v>
      </c>
      <c r="R33" s="91">
        <f t="shared" si="19"/>
        <v>17636084556.398685</v>
      </c>
      <c r="S33" s="91"/>
      <c r="T33" s="91">
        <f t="shared" ref="T33:AA33" si="20">SUM(T21:T31)</f>
        <v>2315714389.161757</v>
      </c>
      <c r="U33" s="91">
        <f t="shared" si="20"/>
        <v>4335805664.8135023</v>
      </c>
      <c r="V33" s="91">
        <f t="shared" si="20"/>
        <v>4927051891.8335257</v>
      </c>
      <c r="W33" s="91">
        <f t="shared" si="20"/>
        <v>14781155675.500576</v>
      </c>
      <c r="X33" s="93">
        <f>SUM(X21:X31)</f>
        <v>324200014.48264599</v>
      </c>
      <c r="Y33" s="93">
        <f t="shared" si="20"/>
        <v>607012793.07389045</v>
      </c>
      <c r="Z33" s="93">
        <f t="shared" si="20"/>
        <v>689787264.85669351</v>
      </c>
      <c r="AA33" s="93">
        <f t="shared" si="20"/>
        <v>2069361794.5700808</v>
      </c>
    </row>
    <row r="35" spans="1:27">
      <c r="A35" s="120" t="s">
        <v>222</v>
      </c>
      <c r="B35" s="121"/>
      <c r="C35" s="121"/>
      <c r="D35" s="121"/>
      <c r="E35" s="121"/>
      <c r="F35" s="121"/>
      <c r="G35" s="121"/>
      <c r="H35" s="121"/>
      <c r="I35" s="121"/>
      <c r="J35" s="121"/>
    </row>
    <row r="37" spans="1:27" ht="49" customHeight="1">
      <c r="A37" s="122" t="s">
        <v>223</v>
      </c>
      <c r="B37" s="122"/>
      <c r="C37" s="122"/>
      <c r="D37" s="122"/>
      <c r="E37" s="122"/>
      <c r="F37" s="122"/>
      <c r="G37" s="122"/>
      <c r="H37" s="122"/>
      <c r="I37" s="122"/>
      <c r="J37" s="122"/>
    </row>
  </sheetData>
  <mergeCells count="12">
    <mergeCell ref="A35:J35"/>
    <mergeCell ref="A37:J37"/>
    <mergeCell ref="N19:N20"/>
    <mergeCell ref="N21:N33"/>
    <mergeCell ref="O19:R19"/>
    <mergeCell ref="T19:W19"/>
    <mergeCell ref="X19:AA19"/>
    <mergeCell ref="A1:K1"/>
    <mergeCell ref="A19:M19"/>
    <mergeCell ref="S19:S20"/>
    <mergeCell ref="A15:A16"/>
    <mergeCell ref="A18:AA18"/>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8</vt:i4>
      </vt:variant>
    </vt:vector>
  </HeadingPairs>
  <TitlesOfParts>
    <vt:vector size="8" baseType="lpstr">
      <vt:lpstr>1-Indicator Characteristics</vt:lpstr>
      <vt:lpstr>2-DALYs &amp; Historical Data</vt:lpstr>
      <vt:lpstr>3-Grey model</vt:lpstr>
      <vt:lpstr>4-Counterfactual Dataset（Ln）</vt:lpstr>
      <vt:lpstr>5-Coefficient</vt:lpstr>
      <vt:lpstr>6-Distance Issue</vt:lpstr>
      <vt:lpstr>7-Simulation Setting</vt:lpstr>
      <vt:lpstr>8-Result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 Hyouka</dc:creator>
  <cp:lastModifiedBy>Ai Hyouka</cp:lastModifiedBy>
  <dcterms:created xsi:type="dcterms:W3CDTF">2015-06-05T18:19:34Z</dcterms:created>
  <dcterms:modified xsi:type="dcterms:W3CDTF">2026-06-08T06:12:22Z</dcterms:modified>
</cp:coreProperties>
</file>