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01.armorsante.org\data\Partages\service-rea-SB\Dev Druable Green Rea\Benchmark\Draft Benchmark\AIC R2.0\PB 29-01\"/>
    </mc:Choice>
  </mc:AlternateContent>
  <bookViews>
    <workbookView xWindow="0" yWindow="0" windowWidth="28800" windowHeight="13080" activeTab="1"/>
  </bookViews>
  <sheets>
    <sheet name="Recap table" sheetId="1" r:id="rId1"/>
    <sheet name=" Medications" sheetId="2" r:id="rId2"/>
    <sheet name="Medical devices" sheetId="3" r:id="rId3"/>
    <sheet name="Caregivers transportation" sheetId="5" r:id="rId4"/>
    <sheet name="Energy" sheetId="4" r:id="rId5"/>
    <sheet name="ECMO and CRRT" sheetId="6" r:id="rId6"/>
    <sheet name="Oxygen" sheetId="8" r:id="rId7"/>
  </sheets>
  <definedNames>
    <definedName name="_xlnm._FilterDatabase" localSheetId="1" hidden="1">' Medications'!$B$3:$O$105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D4" i="8" l="1"/>
  <c r="C3" i="8"/>
  <c r="C5" i="8" s="1"/>
  <c r="C8" i="8" s="1"/>
  <c r="E2" i="8"/>
  <c r="D3" i="8" l="1"/>
  <c r="D5" i="8" s="1"/>
  <c r="D8" i="8" s="1"/>
  <c r="D9" i="8" s="1"/>
  <c r="D6" i="8"/>
  <c r="F42" i="1"/>
  <c r="F39" i="1"/>
  <c r="F9" i="6"/>
  <c r="G9" i="6" s="1"/>
  <c r="F8" i="6"/>
  <c r="G8" i="6" s="1"/>
  <c r="E5" i="6" l="1"/>
  <c r="F5" i="6" s="1"/>
  <c r="E4" i="6"/>
  <c r="F4" i="6" s="1"/>
  <c r="C12" i="6" l="1"/>
  <c r="G4" i="6"/>
  <c r="D12" i="6" s="1"/>
  <c r="C13" i="6"/>
  <c r="G5" i="6"/>
  <c r="D13" i="6" s="1"/>
  <c r="O8" i="5"/>
  <c r="N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K2" i="5"/>
  <c r="B4" i="4"/>
  <c r="D9" i="4"/>
  <c r="D10" i="4" s="1"/>
  <c r="D14" i="4"/>
  <c r="D15" i="4" s="1"/>
  <c r="C14" i="4"/>
  <c r="C15" i="4" s="1"/>
  <c r="B14" i="4"/>
  <c r="B15" i="4" s="1"/>
  <c r="C9" i="4"/>
  <c r="C10" i="4" s="1"/>
  <c r="B9" i="4"/>
  <c r="B10" i="4" s="1"/>
  <c r="E26" i="1"/>
  <c r="E25" i="1"/>
  <c r="C25" i="1"/>
  <c r="D105" i="2"/>
  <c r="C26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E16" i="1"/>
  <c r="C16" i="1"/>
  <c r="E15" i="1"/>
  <c r="C15" i="1"/>
  <c r="C14" i="1"/>
  <c r="E14" i="1"/>
  <c r="E13" i="1"/>
  <c r="C13" i="1"/>
  <c r="E49" i="3"/>
  <c r="F49" i="3"/>
  <c r="G49" i="3"/>
  <c r="H49" i="3"/>
  <c r="J49" i="3"/>
  <c r="K49" i="3"/>
  <c r="M49" i="3"/>
  <c r="N49" i="3"/>
  <c r="C49" i="3"/>
  <c r="C50" i="3" s="1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" i="3"/>
  <c r="F105" i="2"/>
  <c r="G105" i="2"/>
  <c r="H105" i="2"/>
  <c r="I105" i="2"/>
  <c r="K105" i="2"/>
  <c r="O105" i="2"/>
  <c r="M66" i="2"/>
  <c r="D18" i="1" s="1"/>
  <c r="M67" i="2"/>
  <c r="M68" i="2"/>
  <c r="M69" i="2"/>
  <c r="M70" i="2"/>
  <c r="M71" i="2"/>
  <c r="M72" i="2"/>
  <c r="M73" i="2"/>
  <c r="M74" i="2"/>
  <c r="D24" i="1" s="1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5" i="2"/>
  <c r="M6" i="2"/>
  <c r="M7" i="2"/>
  <c r="M8" i="2"/>
  <c r="D19" i="1" s="1"/>
  <c r="M9" i="2"/>
  <c r="M10" i="2"/>
  <c r="M11" i="2"/>
  <c r="M12" i="2"/>
  <c r="M13" i="2"/>
  <c r="M14" i="2"/>
  <c r="M15" i="2"/>
  <c r="M16" i="2"/>
  <c r="M17" i="2"/>
  <c r="M18" i="2"/>
  <c r="D21" i="1" s="1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" i="2"/>
  <c r="D17" i="1" l="1"/>
  <c r="D13" i="1"/>
  <c r="D20" i="1"/>
  <c r="D22" i="1"/>
  <c r="D26" i="1"/>
  <c r="D23" i="1"/>
  <c r="D25" i="1"/>
  <c r="D16" i="1"/>
  <c r="L49" i="3"/>
  <c r="M105" i="2"/>
  <c r="D15" i="1"/>
  <c r="C28" i="1"/>
  <c r="C29" i="1"/>
  <c r="E28" i="1"/>
  <c r="E29" i="1"/>
  <c r="E27" i="1"/>
  <c r="C27" i="1"/>
  <c r="D28" i="1" l="1"/>
  <c r="H11" i="1"/>
  <c r="J11" i="1"/>
  <c r="D29" i="1"/>
  <c r="I11" i="1" s="1"/>
  <c r="D27" i="1"/>
</calcChain>
</file>

<file path=xl/sharedStrings.xml><?xml version="1.0" encoding="utf-8"?>
<sst xmlns="http://schemas.openxmlformats.org/spreadsheetml/2006/main" count="682" uniqueCount="405">
  <si>
    <t>Category</t>
  </si>
  <si>
    <t>Product/activity</t>
  </si>
  <si>
    <t>Consumption*</t>
  </si>
  <si>
    <t>Process-based LCA**</t>
  </si>
  <si>
    <t>EIO-LCA</t>
  </si>
  <si>
    <t>Hybrid-LCA</t>
  </si>
  <si>
    <t>Medical devices</t>
  </si>
  <si>
    <t>Gloves</t>
  </si>
  <si>
    <t>Syringes</t>
  </si>
  <si>
    <t>Pads</t>
  </si>
  <si>
    <t>Needles</t>
  </si>
  <si>
    <t>IV Tubings</t>
  </si>
  <si>
    <t>Electrodes</t>
  </si>
  <si>
    <t>Aspiration tubes</t>
  </si>
  <si>
    <t>Moutch care devices</t>
  </si>
  <si>
    <t>Dressings</t>
  </si>
  <si>
    <t>Other devices</t>
  </si>
  <si>
    <t>Total Medical Devices</t>
  </si>
  <si>
    <t>Medications</t>
  </si>
  <si>
    <t>Water for injection (IV) (10-20mL)</t>
  </si>
  <si>
    <t>Propofol (IV) (200 mg/20mL)</t>
  </si>
  <si>
    <t>Sodium Chlorure 0,9% (IV) (10-1000mL)</t>
  </si>
  <si>
    <t>Glucose 5% (IV) (10-1000mL)</t>
  </si>
  <si>
    <t>Paracetamol 500 mg (enteral)</t>
  </si>
  <si>
    <t>Salbutamol (inhaled) 5mg/nebulization</t>
  </si>
  <si>
    <t>Potassium Chlorure (IV) (1g/10mL)</t>
  </si>
  <si>
    <t>Anti-infectious (IV)</t>
  </si>
  <si>
    <t>Paracetamol  (IV) (1g/100mL)</t>
  </si>
  <si>
    <t>Nutrition (enteral) (500mL)</t>
  </si>
  <si>
    <t>Nutrition (IV) (1000-2000mL)</t>
  </si>
  <si>
    <t>Potassium (enteral) (600 mg)</t>
  </si>
  <si>
    <t>Other medications (IV)</t>
  </si>
  <si>
    <t>Other medications (enteral)</t>
  </si>
  <si>
    <t>Total medications (IV)</t>
  </si>
  <si>
    <t>Total medications (enteral)</t>
  </si>
  <si>
    <t>Total medications</t>
  </si>
  <si>
    <t>Energy</t>
  </si>
  <si>
    <t>Gas</t>
  </si>
  <si>
    <t>Electricity</t>
  </si>
  <si>
    <t>Total Energy</t>
  </si>
  <si>
    <t>Caregivers transport</t>
  </si>
  <si>
    <t>TOTAL</t>
  </si>
  <si>
    <t>EAU PPI 20 ML AMP INJ PROAMP</t>
  </si>
  <si>
    <t>Champagne, France</t>
  </si>
  <si>
    <t>PROPOFOL 200 MG/20 ML AMP INJ IV</t>
  </si>
  <si>
    <t>Melsungen, Allemagne</t>
  </si>
  <si>
    <t>EAU PPI 10 ML AMP INJ PROAMP</t>
  </si>
  <si>
    <t>SODIUM CHLORURE 0,9 % 10 ML AMP INJ</t>
  </si>
  <si>
    <t>BERLIN Allemagne</t>
  </si>
  <si>
    <t>POTASSIUM CHLORURE 1G/10ML (10%) AMP INJ IV PERF</t>
  </si>
  <si>
    <t>SODIUM CHLORURE 2G/10ML (20%) AMP INJ IV</t>
  </si>
  <si>
    <t>Rubi Espagne</t>
  </si>
  <si>
    <t>CISATRACURIUM 20 MG/10 ML AMP INJ IV (ex NIMBEX)</t>
  </si>
  <si>
    <t>Barcelone, Espagne</t>
  </si>
  <si>
    <t>NORADRENALINE 8 MG/4 ML SS SULFITES AMP INJ IV PERF</t>
  </si>
  <si>
    <t>Livron-sur-Drôme</t>
  </si>
  <si>
    <t>GLUCOSE-1-PHOSPHATE DISODIQUE 10 ML AMP INJ IV PERF PHOCYTAN</t>
  </si>
  <si>
    <t xml:space="preserve"> CHAMPAGNE, France</t>
  </si>
  <si>
    <t>NEFOPAM 20 MG/2 ML AMP INJ ACUPAN</t>
  </si>
  <si>
    <t>HEPARINE SODIQUE 5000 UI/1ML AMP INJ IV</t>
  </si>
  <si>
    <t>TRITTAU Allemagne</t>
  </si>
  <si>
    <t>PYRIDOXINE (VIT B6) 250 MG/5 ML AMP INJ</t>
  </si>
  <si>
    <t>ITXASSOU, France</t>
  </si>
  <si>
    <t>CEFOTAXIME 1 G FL INJ</t>
  </si>
  <si>
    <t>brescia, Italie</t>
  </si>
  <si>
    <t>ENOXAPARINE 4 000 UI ANTI-XA/0,4 ML SER INJ SC LOVENOX</t>
  </si>
  <si>
    <t>Le Trait France</t>
  </si>
  <si>
    <t>PARACETAMOL 1 G/100ML ADULTE FL SOUPLE INJ IV PERF</t>
  </si>
  <si>
    <t>RUBI Espagne</t>
  </si>
  <si>
    <t>SUFENTANIL 250 MCG/5 ML AMP INJ SUFENTA</t>
  </si>
  <si>
    <t>NICARDIPINE 10 MG/10 ML AMP INJ IV</t>
  </si>
  <si>
    <t>PANTOPRAZOLE 40 MG FL INJ IV</t>
  </si>
  <si>
    <t>Madrid</t>
  </si>
  <si>
    <t>THIAMINE (VIT B1) 500 MG/10 ML AMP INJ BEVITINE</t>
  </si>
  <si>
    <t>Fontenay sous Bois, France</t>
  </si>
  <si>
    <t>AMOXICILLINE 1 G FL INJ</t>
  </si>
  <si>
    <t>LUITRE, France</t>
  </si>
  <si>
    <t>CISATRACURIUM 10 MG/5 ML AMP INJ IV</t>
  </si>
  <si>
    <t>FUROSEMIDE 20 MG/2 ML AMP INJ</t>
  </si>
  <si>
    <t>Itxassou, France</t>
  </si>
  <si>
    <t>MIDAZOLAM 50 MG/10 ML AMP INJ</t>
  </si>
  <si>
    <t>AMOXICILLINE+AC CLAVULANIQUE 2 G/200 MG FL INJ IV PERF</t>
  </si>
  <si>
    <t>Kundl, Autriche</t>
  </si>
  <si>
    <t>HYDROCORTISONE 100MG FL INJ</t>
  </si>
  <si>
    <t>Paris, France</t>
  </si>
  <si>
    <t>PIPERACILLINE + TAZOBACTAM 4 G/500 MG FL INJ IV</t>
  </si>
  <si>
    <t>Brescia, Italie</t>
  </si>
  <si>
    <t>URAPIDIL 50 MG/10 ML AMP INJ IV (ex EUPRESSYL)</t>
  </si>
  <si>
    <t>METRONIDAZOLE 500 MG /100 ML 0,50 % FL INJ IV PERF</t>
  </si>
  <si>
    <t xml:space="preserve">Rubi Espagne </t>
  </si>
  <si>
    <t>ACICLOVIR 250 MG FL INJ IV PERF</t>
  </si>
  <si>
    <t>Masate, Italie</t>
  </si>
  <si>
    <t>VANCOMYCINE 500 MG FL INJ IV PERF OU SOL BUV</t>
  </si>
  <si>
    <t>Lyon, France</t>
  </si>
  <si>
    <t>MAGNESIUM SULFATE 1,5 G/10 ML 15 % AMP INJ IVL</t>
  </si>
  <si>
    <t>La chausse saint victor, France</t>
  </si>
  <si>
    <t>OLIGOELEMENTS 10ML AMP INJ IV PERF NUTRYELT</t>
  </si>
  <si>
    <t>VITAMINES MULTI FL INJ IV CERNEVIT</t>
  </si>
  <si>
    <t>Montargis, France</t>
  </si>
  <si>
    <t>CLONIDINE 0,15 MG/1 ML AMP INJ CATAPRESSAN</t>
  </si>
  <si>
    <t>Quetigny, France</t>
  </si>
  <si>
    <t>AMIODARONE 150 MG/3 ML AMP INJ IV PERF CORDARONE</t>
  </si>
  <si>
    <t>Ambares, France</t>
  </si>
  <si>
    <t>CEFTRIAXONE 1 G FL INJ</t>
  </si>
  <si>
    <t>Wessling, Hongrie</t>
  </si>
  <si>
    <t>GLUCOSE 5% 2,5 G/ 50ML POCHE INJ IV PERF</t>
  </si>
  <si>
    <t>SODIUM CHLORURE 0,9 % 100 ML POCHE INJ</t>
  </si>
  <si>
    <t>SODIUM CHLORURE 0,9 % 50 ML POCHE INJ</t>
  </si>
  <si>
    <t>GLUCOSE 5% 12,5 G/250 ML POCHE INJ PERF</t>
  </si>
  <si>
    <t>NUTRITION ENT 500 ML NUTRISON ENERGY 132053</t>
  </si>
  <si>
    <t>GLUCOSE 5% 50 G/ 1000 ML POCHE INJ IV PERF</t>
  </si>
  <si>
    <t>GLUCOSE 5% 5 G/100 ML POCHE INJ IV PERF</t>
  </si>
  <si>
    <t>NUTRITION ENT FLEX 500 ML SONDALIS STANDARD 7613033052286</t>
  </si>
  <si>
    <t>GLUCOSE 5% 25 G/500 ML POCHE INJ PERF</t>
  </si>
  <si>
    <t>SODIUM CHLORURE 0,9 % 500 ML POCHE INJ</t>
  </si>
  <si>
    <t>ELECTROLYTES 500ML FL SOUPLE INJ IV PERF ISOFUNDINE</t>
  </si>
  <si>
    <t>Rubi, Espagne</t>
  </si>
  <si>
    <t>SODIUM CHLORURE 0,9 % 250 ML POCHE INJ</t>
  </si>
  <si>
    <t>SODIUM CHLORURE 0,9 % 1000 ML POCHE INJ</t>
  </si>
  <si>
    <t>NUTRITION ENT 500 ML NUTRISON PROTEIN + ENERGY 132339</t>
  </si>
  <si>
    <t>GLUCOSE 2.5% 25 G/1000 ML POCHE INJ PERF</t>
  </si>
  <si>
    <t>Melsungen Allemagne</t>
  </si>
  <si>
    <t>NUTRITION PARENT CENTRALE POCH INJ 2140 KCAL 2L OLIMEL N9E (ex SMOFKABIVEN)</t>
  </si>
  <si>
    <t>NUTRITION ENT 500 ML NUTRISON PROTEIN + ENERGY FIBRE 132371</t>
  </si>
  <si>
    <t>NUTRITION PARENT CENTRALE POCH INJ 1070 KCAL 1L OLIMEL N9E (ex SMOFKABIVEN)</t>
  </si>
  <si>
    <t>NUTRITION PARENT PERIPHERIQUE POCHE INJ 1L PERIOLIMEL N4E</t>
  </si>
  <si>
    <t>NUTRITION ENT FLEX 500 ML SONDALIS STANDARD FIBRE 7613033052699</t>
  </si>
  <si>
    <t>GLUCOSE 10% 50 G/500 ML POCHE INJ IV PERF</t>
  </si>
  <si>
    <t>NUTRITION PARENT CENTRALE POCHE INJ 1070 KCAL 1L OLIMEL N9 (ex SMOFKABIVEN)</t>
  </si>
  <si>
    <t>NUTRITION ENTERALE SEMI ELEMENTAIRE HYPERENERGETIQUE PEPTAMEN HN SMART FLEX 500ML 5108357</t>
  </si>
  <si>
    <t>NUTRITION PARENT CENTRALE POCHE INJ 2140 KCAL 2L OLIMEL N9 (ex SMOFKABIVEN)</t>
  </si>
  <si>
    <t>NUTRITION ENTERALE SEMI ELEMENTAIRE STANDARD PEPTAMEN 500ML 5108305</t>
  </si>
  <si>
    <t>BICARBONATE SODIUM 1,4 % 500 ML FL INJ IV PERF</t>
  </si>
  <si>
    <t>La Chaussee saint victor</t>
  </si>
  <si>
    <t>Consumption</t>
  </si>
  <si>
    <t>Weight</t>
  </si>
  <si>
    <t>ELIMINATION</t>
  </si>
  <si>
    <t>TRANSPORTATION</t>
  </si>
  <si>
    <t>Site of production</t>
  </si>
  <si>
    <t>Unknown</t>
  </si>
  <si>
    <t>Lessines, belgique</t>
  </si>
  <si>
    <t>Voorshoten, pays-bas</t>
  </si>
  <si>
    <t>GHG emissions</t>
  </si>
  <si>
    <t>TOTAL GHG emissions</t>
  </si>
  <si>
    <t>GHG emissions (for 1 unit)</t>
  </si>
  <si>
    <t>GHG emissions in 2022 (per patient-day)</t>
  </si>
  <si>
    <t>Product reference</t>
  </si>
  <si>
    <t>PACKAGING</t>
  </si>
  <si>
    <t>CONTAINING</t>
  </si>
  <si>
    <t>Price (per unit) (€)</t>
  </si>
  <si>
    <t>Weight (g)</t>
  </si>
  <si>
    <t>Process-based LCA</t>
  </si>
  <si>
    <t>EIO LCA</t>
  </si>
  <si>
    <t>IV medications</t>
  </si>
  <si>
    <t>SALBUTAMOL 5 MG/2,5ML UNIDOSE NEBUL</t>
  </si>
  <si>
    <t>PARACETAMOL 500 MG GELULE DAFALGAN (ex DOLIPRANE)</t>
  </si>
  <si>
    <t>PARACETAMOL 500 MG CP EFFERV SEC DAFALGAN</t>
  </si>
  <si>
    <t>CARMELLOSE 4 MG/0,4 ML 1 % UNIDOSE COLLYRE CELLUVISC</t>
  </si>
  <si>
    <t>IPRATROPIUM ADULTE 0.5MG/2ML UNIDOSE NEBUL</t>
  </si>
  <si>
    <t>LANSOPRAZOLE 15 MG CP ORODISPERSIBLE</t>
  </si>
  <si>
    <t>AMPHOTERICINE B+GENTAMICINE+COLISTINE BUV FL 60ML DECONT DIGEST SELECTIVE</t>
  </si>
  <si>
    <t>MACROGOL 3350 13,125 G + ELECTROLYTES SACHET MOVICOL</t>
  </si>
  <si>
    <t>POTASSIUM CHLORURE 600 MG GELULE DIFFUK</t>
  </si>
  <si>
    <t>ZOPICLONE 7,5MG CP SEC</t>
  </si>
  <si>
    <t>CHLORHEXIDINE ALCOOL + COLORANT 0,5% SOL APPL CUT FL 125ML</t>
  </si>
  <si>
    <t>GEL HYDROALCOOLIQUE ANIOSGEL 800  500ML 2550748UG</t>
  </si>
  <si>
    <t>PANTOPRAZOLE 20 MG CP</t>
  </si>
  <si>
    <t>ALCOOL MODIFIE 70% FL 250 ML</t>
  </si>
  <si>
    <t>ACETYLSALICYLIQUE ACIDE  75 MG SACHET KARDEGIC</t>
  </si>
  <si>
    <t>BISOPROLOL 2,5 MG CP SEC</t>
  </si>
  <si>
    <t>LOPERAMIDE 2 MG GELULE</t>
  </si>
  <si>
    <t>AMLODIPINE 5 MG GELULE</t>
  </si>
  <si>
    <t>HYPOCHLORITE SODIUM FL 60 ML SOL APPL CUTANEE DAKIN</t>
  </si>
  <si>
    <t>AMIODARONE 200 MG CP SEC</t>
  </si>
  <si>
    <t>OXYCODONE 5 MG CP ORODISPERSIBLE OXYNORMORO</t>
  </si>
  <si>
    <t>PHLOROGLUCINOL 80 MG CP ORODISPERSIBLE</t>
  </si>
  <si>
    <t>ATORVASTATINE 10MG CP</t>
  </si>
  <si>
    <t>RACECADOTRIL 100MG GELULE (ex TIORFAN)</t>
  </si>
  <si>
    <t>POTASSIUM ELEMENT 25MG/ML SIROP FL 200ML</t>
  </si>
  <si>
    <t>PREGABALINE 25 MG GELULE</t>
  </si>
  <si>
    <t>LACTULOSE 10 G/15 ML BUV STICK DUPHALAC</t>
  </si>
  <si>
    <t>DIOSMECTITE 3 G SACHET SMECTA</t>
  </si>
  <si>
    <t>ETHER FL 125 ML SOL APPL CUTANEE</t>
  </si>
  <si>
    <t>ALPRAZOLAM 0,25 MG CP SEC</t>
  </si>
  <si>
    <t>VALACICLOVIR 500 MG CP</t>
  </si>
  <si>
    <t>LIDOCAINE  5% + PRILOCAINE 5% 25 MG/25 MG DISP TRANSDERM</t>
  </si>
  <si>
    <t>OXAZEPAM 10 MG CP SERESTA</t>
  </si>
  <si>
    <t>NICOTINE 21 MG/24H DISP TRANSDERM NICOPATCHLIB</t>
  </si>
  <si>
    <t>ALGINATE+BICARBONATE DE SODIUM SUSP BUV SACHET GAVISCON</t>
  </si>
  <si>
    <t>FOLIQUE ACIDE 5 MG CP</t>
  </si>
  <si>
    <t>RETINOL 2500 UI/10 g TUBE PDE OPHT  VITAMINE A</t>
  </si>
  <si>
    <t>GABAPENTINE 300 MG GELULE</t>
  </si>
  <si>
    <t>CHLORHEXIDINE 4% SOL MOUSSANTE FL 125ML HIBISCRUB</t>
  </si>
  <si>
    <t>Amiens</t>
  </si>
  <si>
    <t>Agen</t>
  </si>
  <si>
    <t>Westport Irlande</t>
  </si>
  <si>
    <t>80084 Amiens</t>
  </si>
  <si>
    <t>Komarom Hongry</t>
  </si>
  <si>
    <t>Auxerre</t>
  </si>
  <si>
    <t>Lyon</t>
  </si>
  <si>
    <t>Herouville Saint Clair</t>
  </si>
  <si>
    <t>Lezennes</t>
  </si>
  <si>
    <t>Malte</t>
  </si>
  <si>
    <t>Melun</t>
  </si>
  <si>
    <t>Mylan Hongrie</t>
  </si>
  <si>
    <t>Chateauneuf sur charente</t>
  </si>
  <si>
    <t>Saint Fargeau Ponthierry</t>
  </si>
  <si>
    <t>Leusden pays bas</t>
  </si>
  <si>
    <t>BAD VILBEL Allemagne</t>
  </si>
  <si>
    <t>Agia Paraskevi grèce</t>
  </si>
  <si>
    <t>Bois d'arcy France</t>
  </si>
  <si>
    <t>Hongrie</t>
  </si>
  <si>
    <t>Olst Pays bas</t>
  </si>
  <si>
    <t>Dreux France</t>
  </si>
  <si>
    <t>Leuven</t>
  </si>
  <si>
    <t>bretigny sur orge</t>
  </si>
  <si>
    <t>Lys Lez lannoy</t>
  </si>
  <si>
    <t>Gien France</t>
  </si>
  <si>
    <t>Schipol, Pays bas</t>
  </si>
  <si>
    <t>Brembate, Italie</t>
  </si>
  <si>
    <t>Pomezia, Italie</t>
  </si>
  <si>
    <t>Alloga arras</t>
  </si>
  <si>
    <t>Limay</t>
  </si>
  <si>
    <t>Gueret</t>
  </si>
  <si>
    <t>Amilly</t>
  </si>
  <si>
    <t>Chenove</t>
  </si>
  <si>
    <t>Other medications</t>
  </si>
  <si>
    <t>LCA = Life Cycle Assessment, EIO = Economic Input-output, 
IV = intravenous ; 
GHG emissions are expressed as Carbon Dioxide Equivalent (kgCO2e)</t>
  </si>
  <si>
    <t>IV related and other medical devices</t>
  </si>
  <si>
    <t>COMPRESSE NON TISSE N/STER 7.5X7.5CM 113</t>
  </si>
  <si>
    <t>AIG HYPODERMIQUE 18GX40MM 303262</t>
  </si>
  <si>
    <t>SERINGUE 3 PIECES LUER LOCK 50/60ML POUSSE-SERING 300865</t>
  </si>
  <si>
    <t>ELECTRODE ECG SURV AD MICROPORE E-T601</t>
  </si>
  <si>
    <t>COMPRESSE NON TISSE STER  7.5X7.5CM COMP/2 113S0250</t>
  </si>
  <si>
    <t>AUTOPIQUEUR EXTRA 21GX1.8MM SILKTOUCH AJCL2118</t>
  </si>
  <si>
    <t>SONDE ASPIRATION TRACHEALE CH14 01951451 (SC101453)</t>
  </si>
  <si>
    <t>COMPRESSE NON TISSE STER 7.5X7.5CM COMP/5  113S0550</t>
  </si>
  <si>
    <t>SOINS DE BOUCHE BATONNET MOUSSE CONIQUE CV203</t>
  </si>
  <si>
    <t>PERFUSEUR 1 VOIE SANS SITE INJECTION INFU-1X</t>
  </si>
  <si>
    <t>PROLONGATEUR M/F D 1MM 200CM PB3120R</t>
  </si>
  <si>
    <t>SERINGUE 2 PIECES 10ML SER2P10D</t>
  </si>
  <si>
    <t>SERINGUE 2 PIECES 20ML SER2P20D</t>
  </si>
  <si>
    <t>SERINGUE GAZ DU SANG 956610</t>
  </si>
  <si>
    <t>FILM ADHESIF TRANSP STERILE TEGADERM 10X12CM 1626W</t>
  </si>
  <si>
    <t>TUBULURE PERF POMPE VIAL OPTIMA MS10 15µm  Z072810F</t>
  </si>
  <si>
    <t>PANS ADHESIF STERILE 07.2X5CM 870</t>
  </si>
  <si>
    <t>PRELEVEMENT CORPS DE POMPE 450201</t>
  </si>
  <si>
    <t>PRELEVEMENT ADAPTATEUR SECURISE 450070</t>
  </si>
  <si>
    <t>PRELEVEMENT AIG EPICRA SECU PREMONTEE 21GX19MM 450085Réa</t>
  </si>
  <si>
    <t>SERINGUE 2 PIECES 05ML SER2P5D</t>
  </si>
  <si>
    <t>FILM ADHESIF TRANSP STERILE TEGADERM 06X07CM 1624W</t>
  </si>
  <si>
    <t>ELECTRODE ECG DIAGNOSTIC AD VINYLE 31433538 (RT38)</t>
  </si>
  <si>
    <t>SERINGUE INSULINE SERTIE 30G 08MM 0.5ML SYMSO,5U1003008BE</t>
  </si>
  <si>
    <t>BOUCHON OBTUR LUER LOCK MALE/FEM OBTMF02</t>
  </si>
  <si>
    <t>SOINS DE BOUCHE BATONNET MOUSSE ETOILE 080509</t>
  </si>
  <si>
    <t>DISPOSITIF DE TRANSFERT POCHE INJECTABLE  NGB8064M (EPF0023A)</t>
  </si>
  <si>
    <t>FILTRE ANTI BAC ANTI VIRAL SANS RACCORD 19212T</t>
  </si>
  <si>
    <t>SERINGUE 2 PIECES 02ML SER2P2D</t>
  </si>
  <si>
    <t>FILM ADHESIF TRANSP STERILE FIXATION CATHETER 7X9CM 4006</t>
  </si>
  <si>
    <t>COMPRESSE NON TISSE STER 7.5X7.5CM COMP/10 113S1050</t>
  </si>
  <si>
    <t>TUBULURE NUT ENT POMPE APPLIX 7751995</t>
  </si>
  <si>
    <t>CISEAUX METALLIQUES STERILES  478167/5</t>
  </si>
  <si>
    <t>PPE</t>
  </si>
  <si>
    <t>GANT EXAMEN VINYLE N/STERILE EXANYL 7/8 447004 (107116PM)</t>
  </si>
  <si>
    <t>GANT EXAMEN VINYLE N/STERILE EXANYL 8/9 447005 (107117PM)</t>
  </si>
  <si>
    <t>GANT EXAMEN VINYLE N/STERILE EXANYL 6/7 447003 (GVA1200PM)</t>
  </si>
  <si>
    <t>MASQUE CHIRURGICAL A ELASTIQUES IIR</t>
  </si>
  <si>
    <t>CHARLOTTE UU</t>
  </si>
  <si>
    <t>GANT EXAMEN VINYLE N/STERILE EXANYL 9/10 447005XG (107118PM)</t>
  </si>
  <si>
    <t>GANT PROTECTION NITRILE N/STERILE 7/8 127552 ( MX98897)</t>
  </si>
  <si>
    <t>GANT PROTECTION NITRILE N/STERILE 8/9 127553 (MX98898)</t>
  </si>
  <si>
    <t>CALOT U BLOC (magasin)</t>
  </si>
  <si>
    <t>GANT PROTECTION NITRILE N/STERILE 400MM 7/8 127546</t>
  </si>
  <si>
    <t>GANT DE TOILETTE UU</t>
  </si>
  <si>
    <t>GANT PROTECTION NITRILE N/STERILE 6/7 127551</t>
  </si>
  <si>
    <t>COMPONENTS</t>
  </si>
  <si>
    <t>Production site</t>
  </si>
  <si>
    <t>Paris</t>
  </si>
  <si>
    <t>Fraga, Espagne</t>
  </si>
  <si>
    <t>Mardid, Espagne</t>
  </si>
  <si>
    <t>Innsburk, Autriche</t>
  </si>
  <si>
    <t>Tianjin, chine</t>
  </si>
  <si>
    <t>Istabul, Turquie</t>
  </si>
  <si>
    <t>Jaipur, Inde</t>
  </si>
  <si>
    <t>Lissieu, France</t>
  </si>
  <si>
    <t>Jiangsu, Chine</t>
  </si>
  <si>
    <t>Bronshoj Danemark</t>
  </si>
  <si>
    <t>Kamen, Allemagne</t>
  </si>
  <si>
    <t>Bad Homburg, Allemagne</t>
  </si>
  <si>
    <t>Kremunster, Autriche</t>
  </si>
  <si>
    <t>Waukegan, USA</t>
  </si>
  <si>
    <t>Shangai</t>
  </si>
  <si>
    <t>Changzhou, Chine</t>
  </si>
  <si>
    <t>Zurich</t>
  </si>
  <si>
    <t>Kamunting, malaisie</t>
  </si>
  <si>
    <t>heidenheim, germany</t>
  </si>
  <si>
    <t>Chine</t>
  </si>
  <si>
    <t>Saint Jean de la Neuveille</t>
  </si>
  <si>
    <t>LCA = Life Cycle Assessment, EIO = Economic Input-output, 
IV = intravenous, 
PPE = Personal Protective Equipment ; 
GHG emissions are expressed as Carbon Dioxide Equivalent (kgCO2e)</t>
  </si>
  <si>
    <t>LCA = Life Cycle Assessment, EIO = Economic Input-Output
IV = intravenous
* Datas are expressed as number of units per patient-day
** For medications process-based LCA, active pharmaceuticals and excipients production was not taken into account, because of the lack of reliable data</t>
  </si>
  <si>
    <t>Réanimation + Locaux communs + Circ</t>
  </si>
  <si>
    <t>USC</t>
  </si>
  <si>
    <t>Part Réa et locaux communs</t>
  </si>
  <si>
    <t>Part USC</t>
  </si>
  <si>
    <t>Areas</t>
  </si>
  <si>
    <t>Gas (kWh)</t>
  </si>
  <si>
    <t>Electricity (kWh)</t>
  </si>
  <si>
    <t>Water (m3)</t>
  </si>
  <si>
    <t>ICU Total Area</t>
  </si>
  <si>
    <t>Gas (kgCO2e)</t>
  </si>
  <si>
    <t>Electricity (kgCO2e)</t>
  </si>
  <si>
    <t>Water (kgCO2e)</t>
  </si>
  <si>
    <t>2022 Energy GHG emissions per patient-day</t>
  </si>
  <si>
    <t>Total Consumption</t>
  </si>
  <si>
    <t>Total Consumption per patient-day</t>
  </si>
  <si>
    <t>2022 Energy GHG emissions</t>
  </si>
  <si>
    <t>Hospital total area</t>
  </si>
  <si>
    <t>Agent</t>
  </si>
  <si>
    <t>Distance trajet</t>
  </si>
  <si>
    <t>Transport 1</t>
  </si>
  <si>
    <t>Transport 2</t>
  </si>
  <si>
    <t>Proportion 1</t>
  </si>
  <si>
    <t>Proportion2</t>
  </si>
  <si>
    <t>Ouest go</t>
  </si>
  <si>
    <t>FMD</t>
  </si>
  <si>
    <t>Facteur impact transport 1</t>
  </si>
  <si>
    <t>Facteur impact transport 2</t>
  </si>
  <si>
    <t>Impact mobilité par jour travaillé</t>
  </si>
  <si>
    <t>AS</t>
  </si>
  <si>
    <t>voiture</t>
  </si>
  <si>
    <t>covoit</t>
  </si>
  <si>
    <t>Ide</t>
  </si>
  <si>
    <t>electrique voiture</t>
  </si>
  <si>
    <t>Secretaire</t>
  </si>
  <si>
    <t>IDE</t>
  </si>
  <si>
    <t>Med</t>
  </si>
  <si>
    <t>velo</t>
  </si>
  <si>
    <t>Elève AS</t>
  </si>
  <si>
    <t>interne</t>
  </si>
  <si>
    <t>trotinette</t>
  </si>
  <si>
    <t>Cadre</t>
  </si>
  <si>
    <t>Kine</t>
  </si>
  <si>
    <t>pied</t>
  </si>
  <si>
    <t>Interne</t>
  </si>
  <si>
    <t>Nombre de répondants</t>
  </si>
  <si>
    <t>Nombre de soignants dans le service</t>
  </si>
  <si>
    <t>% répondant</t>
  </si>
  <si>
    <t>Impact annuel (eq.kg.co2)</t>
  </si>
  <si>
    <t>MED</t>
  </si>
  <si>
    <t>Administratif</t>
  </si>
  <si>
    <t>Elève</t>
  </si>
  <si>
    <t>Process based/hybrid  -LCA</t>
  </si>
  <si>
    <t>EIO/hybrid -LCA</t>
  </si>
  <si>
    <t>TOTAL GHG EMISSIONs ESTIMATION (kgCO2e - patient-day)</t>
  </si>
  <si>
    <t>Alimentation</t>
  </si>
  <si>
    <t>Caregivers meals</t>
  </si>
  <si>
    <t>Patients meals</t>
  </si>
  <si>
    <t>Medical Gas</t>
  </si>
  <si>
    <t xml:space="preserve">Total </t>
  </si>
  <si>
    <t>Oxygen (L)</t>
  </si>
  <si>
    <t>Nitours oxide (L)</t>
  </si>
  <si>
    <t>ECMO</t>
  </si>
  <si>
    <t>Number of circuit</t>
  </si>
  <si>
    <t>CRRT</t>
  </si>
  <si>
    <t>Consumables</t>
  </si>
  <si>
    <t>Devices</t>
  </si>
  <si>
    <t>Number of devices</t>
  </si>
  <si>
    <t>Weight (kg per year)</t>
  </si>
  <si>
    <t>Weight (kg per device)</t>
  </si>
  <si>
    <t>Life expectancy</t>
  </si>
  <si>
    <t>10 years</t>
  </si>
  <si>
    <t>GHG per patient-days</t>
  </si>
  <si>
    <t>Estimated GHG per year</t>
  </si>
  <si>
    <t>Total</t>
  </si>
  <si>
    <t>Life support therapy</t>
  </si>
  <si>
    <t>ECMO (number of ECMO days)</t>
  </si>
  <si>
    <t>Extra renal epuration support (number of session)</t>
  </si>
  <si>
    <t>Number of days with therapy</t>
  </si>
  <si>
    <t>Main analysis 
process-based for MD EIO analysis for pharmaceuticals hybrid LCA for other sources</t>
  </si>
  <si>
    <t>Total Hospital</t>
  </si>
  <si>
    <t xml:space="preserve">ICU </t>
  </si>
  <si>
    <t>Surface (m3)</t>
  </si>
  <si>
    <t>76 611</t>
  </si>
  <si>
    <t>Oxygen Consumption (L)</t>
  </si>
  <si>
    <t>Oxygen emission factor (kgCO2e/L)</t>
  </si>
  <si>
    <t>CO2e emissions related</t>
  </si>
  <si>
    <t>Mural Oxygen Consumption (m3)</t>
  </si>
  <si>
    <t>Bootles Oxygen Consumption (m3)</t>
  </si>
  <si>
    <t>Oxygen consumption (L/per patient-day)</t>
  </si>
  <si>
    <t>Europe GP 100 O2 (kgCO2e/kg)</t>
  </si>
  <si>
    <t>CO2e emissions related per patient-day</t>
  </si>
  <si>
    <t>CO2e (kgCO2e/m3)</t>
  </si>
  <si>
    <t>NC</t>
  </si>
  <si>
    <t>Sedative</t>
  </si>
  <si>
    <t xml:space="preserve">Electrolytes/nutrient </t>
  </si>
  <si>
    <t>Neuromuscular blockade agent</t>
  </si>
  <si>
    <t>Vasopressive</t>
  </si>
  <si>
    <t>Antalgic</t>
  </si>
  <si>
    <t>Antithrombotics</t>
  </si>
  <si>
    <t>Anti-infectious</t>
  </si>
  <si>
    <t>Others</t>
  </si>
  <si>
    <t>Nutrition</t>
  </si>
  <si>
    <t>Aerosols</t>
  </si>
  <si>
    <t>Antiseptics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</si>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</sst>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0"/>
    <numFmt numFmtId="166" formatCode="0.000"/>
    <numFmt numFmtId="167" formatCode="0.000000"/>
    <numFmt numFmtId="168" formatCode="#,##0&quot; m²&quot;"/>
  </numFmts>
  <fonts count="22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 (Corps)_x0000_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name val="Arial"/>
      <family val="2"/>
    </font>
    <font>
      <i/>
      <sz val="12"/>
      <color rgb="FF000000"/>
      <name val="Calibri"/>
      <family val="2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2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0" fillId="0" borderId="0" xfId="0" applyFill="1"/>
    <xf numFmtId="0" fontId="0" fillId="0" borderId="0" xfId="0" applyAlignment="1"/>
    <xf numFmtId="0" fontId="0" fillId="0" borderId="1" xfId="0" applyFill="1" applyBorder="1"/>
    <xf numFmtId="0" fontId="2" fillId="0" borderId="1" xfId="0" applyFont="1" applyBorder="1"/>
    <xf numFmtId="0" fontId="7" fillId="0" borderId="1" xfId="0" applyFont="1" applyBorder="1" applyAlignment="1"/>
    <xf numFmtId="0" fontId="0" fillId="0" borderId="2" xfId="0" applyBorder="1"/>
    <xf numFmtId="0" fontId="0" fillId="0" borderId="2" xfId="0" applyFill="1" applyBorder="1"/>
    <xf numFmtId="0" fontId="0" fillId="0" borderId="18" xfId="0" applyBorder="1"/>
    <xf numFmtId="0" fontId="0" fillId="0" borderId="18" xfId="0" applyFill="1" applyBorder="1"/>
    <xf numFmtId="0" fontId="0" fillId="0" borderId="23" xfId="0" applyBorder="1"/>
    <xf numFmtId="0" fontId="0" fillId="0" borderId="23" xfId="0" applyFill="1" applyBorder="1"/>
    <xf numFmtId="0" fontId="0" fillId="2" borderId="22" xfId="0" applyFill="1" applyBorder="1"/>
    <xf numFmtId="0" fontId="7" fillId="0" borderId="23" xfId="0" applyFont="1" applyBorder="1" applyAlignment="1">
      <alignment wrapText="1"/>
    </xf>
    <xf numFmtId="0" fontId="2" fillId="0" borderId="32" xfId="0" applyFont="1" applyBorder="1"/>
    <xf numFmtId="0" fontId="2" fillId="2" borderId="32" xfId="0" applyFont="1" applyFill="1" applyBorder="1"/>
    <xf numFmtId="0" fontId="2" fillId="0" borderId="33" xfId="0" applyFont="1" applyBorder="1"/>
    <xf numFmtId="0" fontId="0" fillId="0" borderId="1" xfId="0" applyBorder="1" applyAlignment="1">
      <alignment wrapText="1"/>
    </xf>
    <xf numFmtId="0" fontId="6" fillId="0" borderId="1" xfId="0" applyFont="1" applyFill="1" applyBorder="1"/>
    <xf numFmtId="0" fontId="7" fillId="0" borderId="1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 wrapText="1"/>
    </xf>
    <xf numFmtId="0" fontId="0" fillId="0" borderId="21" xfId="0" applyBorder="1"/>
    <xf numFmtId="0" fontId="0" fillId="0" borderId="24" xfId="0" applyBorder="1"/>
    <xf numFmtId="0" fontId="0" fillId="0" borderId="32" xfId="0" applyBorder="1"/>
    <xf numFmtId="0" fontId="2" fillId="0" borderId="18" xfId="0" applyFont="1" applyBorder="1"/>
    <xf numFmtId="0" fontId="2" fillId="0" borderId="23" xfId="0" applyFont="1" applyBorder="1"/>
    <xf numFmtId="0" fontId="2" fillId="0" borderId="19" xfId="0" applyFont="1" applyBorder="1"/>
    <xf numFmtId="0" fontId="2" fillId="0" borderId="21" xfId="0" applyFont="1" applyBorder="1"/>
    <xf numFmtId="0" fontId="2" fillId="0" borderId="24" xfId="0" applyFont="1" applyBorder="1"/>
    <xf numFmtId="167" fontId="0" fillId="0" borderId="0" xfId="0" applyNumberFormat="1"/>
    <xf numFmtId="2" fontId="0" fillId="0" borderId="1" xfId="0" applyNumberFormat="1" applyFill="1" applyBorder="1"/>
    <xf numFmtId="0" fontId="15" fillId="0" borderId="1" xfId="0" applyFont="1" applyFill="1" applyBorder="1"/>
    <xf numFmtId="2" fontId="15" fillId="0" borderId="1" xfId="0" applyNumberFormat="1" applyFont="1" applyFill="1" applyBorder="1"/>
    <xf numFmtId="164" fontId="0" fillId="0" borderId="1" xfId="0" applyNumberFormat="1" applyFill="1" applyBorder="1"/>
    <xf numFmtId="165" fontId="0" fillId="0" borderId="1" xfId="0" applyNumberFormat="1" applyFill="1" applyBorder="1"/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164" fontId="0" fillId="0" borderId="18" xfId="0" applyNumberFormat="1" applyBorder="1"/>
    <xf numFmtId="2" fontId="0" fillId="0" borderId="18" xfId="0" applyNumberFormat="1" applyBorder="1"/>
    <xf numFmtId="164" fontId="0" fillId="0" borderId="2" xfId="0" applyNumberFormat="1" applyBorder="1"/>
    <xf numFmtId="2" fontId="0" fillId="0" borderId="2" xfId="0" applyNumberFormat="1" applyBorder="1"/>
    <xf numFmtId="0" fontId="2" fillId="0" borderId="31" xfId="0" applyFont="1" applyBorder="1"/>
    <xf numFmtId="164" fontId="2" fillId="0" borderId="32" xfId="0" applyNumberFormat="1" applyFont="1" applyBorder="1"/>
    <xf numFmtId="2" fontId="2" fillId="0" borderId="33" xfId="0" applyNumberFormat="1" applyFont="1" applyBorder="1"/>
    <xf numFmtId="2" fontId="0" fillId="0" borderId="18" xfId="0" applyNumberFormat="1" applyFill="1" applyBorder="1"/>
    <xf numFmtId="164" fontId="0" fillId="0" borderId="2" xfId="0" applyNumberFormat="1" applyFill="1" applyBorder="1"/>
    <xf numFmtId="2" fontId="0" fillId="0" borderId="2" xfId="0" applyNumberFormat="1" applyFill="1" applyBorder="1"/>
    <xf numFmtId="0" fontId="2" fillId="0" borderId="17" xfId="0" applyFont="1" applyFill="1" applyBorder="1"/>
    <xf numFmtId="0" fontId="2" fillId="0" borderId="20" xfId="0" applyFont="1" applyFill="1" applyBorder="1"/>
    <xf numFmtId="0" fontId="2" fillId="0" borderId="22" xfId="0" applyFont="1" applyFill="1" applyBorder="1"/>
    <xf numFmtId="167" fontId="2" fillId="0" borderId="23" xfId="0" applyNumberFormat="1" applyFont="1" applyFill="1" applyBorder="1"/>
    <xf numFmtId="0" fontId="0" fillId="0" borderId="0" xfId="0" applyFill="1" applyAlignment="1"/>
    <xf numFmtId="0" fontId="16" fillId="0" borderId="23" xfId="0" applyFont="1" applyBorder="1" applyAlignment="1">
      <alignment wrapText="1"/>
    </xf>
    <xf numFmtId="0" fontId="15" fillId="0" borderId="18" xfId="0" applyFont="1" applyFill="1" applyBorder="1"/>
    <xf numFmtId="0" fontId="15" fillId="0" borderId="23" xfId="0" applyFont="1" applyFill="1" applyBorder="1"/>
    <xf numFmtId="0" fontId="15" fillId="0" borderId="1" xfId="0" applyFont="1" applyBorder="1"/>
    <xf numFmtId="0" fontId="15" fillId="0" borderId="2" xfId="0" applyFont="1" applyBorder="1"/>
    <xf numFmtId="0" fontId="17" fillId="0" borderId="32" xfId="0" applyFont="1" applyBorder="1"/>
    <xf numFmtId="0" fontId="15" fillId="0" borderId="0" xfId="0" applyFont="1"/>
    <xf numFmtId="0" fontId="16" fillId="0" borderId="23" xfId="0" applyFont="1" applyFill="1" applyBorder="1" applyAlignment="1">
      <alignment wrapText="1"/>
    </xf>
    <xf numFmtId="0" fontId="15" fillId="0" borderId="2" xfId="0" applyFont="1" applyFill="1" applyBorder="1"/>
    <xf numFmtId="0" fontId="15" fillId="0" borderId="32" xfId="0" applyFont="1" applyFill="1" applyBorder="1"/>
    <xf numFmtId="0" fontId="16" fillId="0" borderId="24" xfId="0" applyFont="1" applyFill="1" applyBorder="1" applyAlignment="1">
      <alignment wrapText="1"/>
    </xf>
    <xf numFmtId="0" fontId="17" fillId="0" borderId="19" xfId="0" applyFont="1" applyFill="1" applyBorder="1"/>
    <xf numFmtId="0" fontId="17" fillId="0" borderId="21" xfId="0" applyFont="1" applyFill="1" applyBorder="1"/>
    <xf numFmtId="0" fontId="17" fillId="0" borderId="24" xfId="0" applyFont="1" applyFill="1" applyBorder="1"/>
    <xf numFmtId="0" fontId="17" fillId="0" borderId="30" xfId="0" applyFont="1" applyFill="1" applyBorder="1"/>
    <xf numFmtId="0" fontId="17" fillId="0" borderId="33" xfId="0" applyFont="1" applyFill="1" applyBorder="1"/>
    <xf numFmtId="0" fontId="0" fillId="2" borderId="32" xfId="0" applyFill="1" applyBorder="1"/>
    <xf numFmtId="168" fontId="18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" fontId="19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wrapText="1"/>
    </xf>
    <xf numFmtId="168" fontId="2" fillId="0" borderId="1" xfId="0" applyNumberFormat="1" applyFont="1" applyBorder="1"/>
    <xf numFmtId="0" fontId="19" fillId="0" borderId="20" xfId="0" applyFont="1" applyFill="1" applyBorder="1" applyAlignment="1">
      <alignment horizontal="left" vertical="center" wrapText="1"/>
    </xf>
    <xf numFmtId="1" fontId="19" fillId="0" borderId="21" xfId="0" applyNumberFormat="1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left" wrapText="1"/>
    </xf>
    <xf numFmtId="168" fontId="20" fillId="0" borderId="2" xfId="0" applyNumberFormat="1" applyFont="1" applyFill="1" applyBorder="1" applyAlignment="1">
      <alignment wrapText="1"/>
    </xf>
    <xf numFmtId="0" fontId="3" fillId="0" borderId="20" xfId="0" applyFont="1" applyFill="1" applyBorder="1" applyAlignment="1">
      <alignment horizontal="left" wrapText="1"/>
    </xf>
    <xf numFmtId="1" fontId="3" fillId="0" borderId="21" xfId="0" applyNumberFormat="1" applyFont="1" applyFill="1" applyBorder="1" applyAlignment="1">
      <alignment wrapText="1"/>
    </xf>
    <xf numFmtId="0" fontId="3" fillId="0" borderId="29" xfId="0" applyFont="1" applyFill="1" applyBorder="1" applyAlignment="1">
      <alignment horizontal="left" wrapText="1"/>
    </xf>
    <xf numFmtId="1" fontId="3" fillId="0" borderId="2" xfId="0" applyNumberFormat="1" applyFont="1" applyFill="1" applyBorder="1" applyAlignment="1">
      <alignment wrapText="1"/>
    </xf>
    <xf numFmtId="1" fontId="3" fillId="0" borderId="30" xfId="0" applyNumberFormat="1" applyFont="1" applyFill="1" applyBorder="1" applyAlignment="1">
      <alignment wrapText="1"/>
    </xf>
    <xf numFmtId="0" fontId="3" fillId="0" borderId="21" xfId="0" applyFont="1" applyFill="1" applyBorder="1" applyAlignment="1">
      <alignment horizontal="left" wrapText="1"/>
    </xf>
    <xf numFmtId="0" fontId="3" fillId="0" borderId="23" xfId="0" applyFont="1" applyFill="1" applyBorder="1" applyAlignment="1">
      <alignment horizontal="left" wrapText="1"/>
    </xf>
    <xf numFmtId="0" fontId="3" fillId="0" borderId="24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3" fillId="2" borderId="19" xfId="0" applyFont="1" applyFill="1" applyBorder="1" applyAlignment="1">
      <alignment horizontal="left" wrapText="1"/>
    </xf>
    <xf numFmtId="0" fontId="19" fillId="0" borderId="20" xfId="0" applyFont="1" applyFill="1" applyBorder="1" applyAlignment="1">
      <alignment horizontal="left" wrapText="1"/>
    </xf>
    <xf numFmtId="0" fontId="18" fillId="0" borderId="20" xfId="0" applyFont="1" applyFill="1" applyBorder="1" applyAlignment="1">
      <alignment horizontal="left" wrapText="1"/>
    </xf>
    <xf numFmtId="0" fontId="2" fillId="0" borderId="20" xfId="0" applyFont="1" applyBorder="1" applyAlignment="1">
      <alignment horizontal="left"/>
    </xf>
    <xf numFmtId="0" fontId="20" fillId="0" borderId="29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" fontId="0" fillId="0" borderId="22" xfId="0" applyNumberFormat="1" applyBorder="1"/>
    <xf numFmtId="0" fontId="0" fillId="0" borderId="0" xfId="0" applyFont="1"/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0" borderId="26" xfId="0" applyBorder="1"/>
    <xf numFmtId="0" fontId="2" fillId="0" borderId="17" xfId="0" applyFont="1" applyBorder="1"/>
    <xf numFmtId="167" fontId="0" fillId="0" borderId="24" xfId="0" applyNumberFormat="1" applyBorder="1"/>
    <xf numFmtId="0" fontId="0" fillId="0" borderId="1" xfId="0" applyBorder="1"/>
    <xf numFmtId="1" fontId="0" fillId="0" borderId="1" xfId="0" applyNumberFormat="1" applyBorder="1"/>
    <xf numFmtId="0" fontId="2" fillId="0" borderId="20" xfId="0" applyFont="1" applyBorder="1"/>
    <xf numFmtId="0" fontId="2" fillId="0" borderId="22" xfId="0" applyFont="1" applyBorder="1"/>
    <xf numFmtId="0" fontId="0" fillId="0" borderId="20" xfId="0" applyBorder="1"/>
    <xf numFmtId="0" fontId="0" fillId="0" borderId="22" xfId="0" applyBorder="1"/>
    <xf numFmtId="0" fontId="0" fillId="0" borderId="3" xfId="0" applyBorder="1"/>
    <xf numFmtId="0" fontId="2" fillId="0" borderId="46" xfId="0" applyFont="1" applyBorder="1"/>
    <xf numFmtId="0" fontId="0" fillId="0" borderId="5" xfId="0" applyBorder="1"/>
    <xf numFmtId="0" fontId="0" fillId="0" borderId="47" xfId="0" applyBorder="1"/>
    <xf numFmtId="0" fontId="2" fillId="0" borderId="19" xfId="0" applyFont="1" applyFill="1" applyBorder="1"/>
    <xf numFmtId="0" fontId="2" fillId="0" borderId="18" xfId="0" applyFont="1" applyFill="1" applyBorder="1"/>
    <xf numFmtId="164" fontId="2" fillId="0" borderId="33" xfId="0" applyNumberFormat="1" applyFont="1" applyBorder="1"/>
    <xf numFmtId="0" fontId="2" fillId="0" borderId="26" xfId="0" applyFont="1" applyBorder="1"/>
    <xf numFmtId="0" fontId="2" fillId="2" borderId="4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39" xfId="0" applyFont="1" applyBorder="1"/>
    <xf numFmtId="1" fontId="0" fillId="0" borderId="3" xfId="0" applyNumberFormat="1" applyBorder="1"/>
    <xf numFmtId="0" fontId="2" fillId="0" borderId="23" xfId="0" applyFont="1" applyFill="1" applyBorder="1"/>
    <xf numFmtId="0" fontId="0" fillId="0" borderId="17" xfId="0" applyFont="1" applyFill="1" applyBorder="1"/>
    <xf numFmtId="164" fontId="0" fillId="0" borderId="18" xfId="0" applyNumberFormat="1" applyFont="1" applyFill="1" applyBorder="1"/>
    <xf numFmtId="0" fontId="0" fillId="0" borderId="20" xfId="0" applyFont="1" applyFill="1" applyBorder="1"/>
    <xf numFmtId="164" fontId="0" fillId="0" borderId="1" xfId="0" applyNumberFormat="1" applyFont="1" applyFill="1" applyBorder="1"/>
    <xf numFmtId="0" fontId="2" fillId="0" borderId="20" xfId="0" applyFont="1" applyBorder="1" applyAlignment="1">
      <alignment horizontal="center" wrapText="1"/>
    </xf>
    <xf numFmtId="0" fontId="2" fillId="3" borderId="32" xfId="0" applyFont="1" applyFill="1" applyBorder="1" applyAlignment="1">
      <alignment horizontal="center"/>
    </xf>
    <xf numFmtId="2" fontId="0" fillId="3" borderId="18" xfId="0" applyNumberFormat="1" applyFill="1" applyBorder="1"/>
    <xf numFmtId="2" fontId="0" fillId="3" borderId="1" xfId="0" applyNumberFormat="1" applyFill="1" applyBorder="1"/>
    <xf numFmtId="2" fontId="0" fillId="3" borderId="2" xfId="0" applyNumberFormat="1" applyFill="1" applyBorder="1"/>
    <xf numFmtId="2" fontId="2" fillId="3" borderId="32" xfId="0" applyNumberFormat="1" applyFont="1" applyFill="1" applyBorder="1"/>
    <xf numFmtId="2" fontId="15" fillId="3" borderId="1" xfId="0" applyNumberFormat="1" applyFont="1" applyFill="1" applyBorder="1"/>
    <xf numFmtId="166" fontId="0" fillId="3" borderId="1" xfId="0" applyNumberFormat="1" applyFill="1" applyBorder="1"/>
    <xf numFmtId="164" fontId="0" fillId="3" borderId="19" xfId="0" applyNumberFormat="1" applyFont="1" applyFill="1" applyBorder="1"/>
    <xf numFmtId="164" fontId="0" fillId="3" borderId="21" xfId="0" applyNumberFormat="1" applyFont="1" applyFill="1" applyBorder="1"/>
    <xf numFmtId="167" fontId="2" fillId="3" borderId="24" xfId="0" applyNumberFormat="1" applyFont="1" applyFill="1" applyBorder="1"/>
    <xf numFmtId="0" fontId="0" fillId="3" borderId="19" xfId="0" applyFill="1" applyBorder="1"/>
    <xf numFmtId="0" fontId="0" fillId="3" borderId="21" xfId="0" applyFill="1" applyBorder="1"/>
    <xf numFmtId="0" fontId="2" fillId="3" borderId="21" xfId="0" applyFont="1" applyFill="1" applyBorder="1"/>
    <xf numFmtId="0" fontId="0" fillId="3" borderId="1" xfId="0" applyFill="1" applyBorder="1"/>
    <xf numFmtId="0" fontId="0" fillId="3" borderId="33" xfId="0" applyFill="1" applyBorder="1"/>
    <xf numFmtId="0" fontId="2" fillId="3" borderId="45" xfId="0" applyFont="1" applyFill="1" applyBorder="1"/>
    <xf numFmtId="0" fontId="0" fillId="3" borderId="19" xfId="0" applyFont="1" applyFill="1" applyBorder="1"/>
    <xf numFmtId="0" fontId="0" fillId="3" borderId="21" xfId="0" applyFont="1" applyFill="1" applyBorder="1"/>
    <xf numFmtId="0" fontId="2" fillId="3" borderId="24" xfId="0" applyFont="1" applyFill="1" applyBorder="1"/>
    <xf numFmtId="0" fontId="0" fillId="3" borderId="38" xfId="0" applyFont="1" applyFill="1" applyBorder="1"/>
    <xf numFmtId="164" fontId="0" fillId="0" borderId="18" xfId="0" applyNumberFormat="1" applyFill="1" applyBorder="1"/>
    <xf numFmtId="164" fontId="15" fillId="0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/>
    <xf numFmtId="0" fontId="2" fillId="4" borderId="1" xfId="0" applyFont="1" applyFill="1" applyBorder="1"/>
    <xf numFmtId="0" fontId="0" fillId="4" borderId="1" xfId="0" applyFill="1" applyBorder="1"/>
    <xf numFmtId="167" fontId="2" fillId="0" borderId="20" xfId="0" applyNumberFormat="1" applyFont="1" applyBorder="1" applyAlignment="1">
      <alignment horizontal="center"/>
    </xf>
    <xf numFmtId="0" fontId="2" fillId="2" borderId="51" xfId="0" applyFont="1" applyFill="1" applyBorder="1"/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2" fillId="2" borderId="3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8" fillId="0" borderId="31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textRotation="90"/>
    </xf>
    <xf numFmtId="0" fontId="9" fillId="0" borderId="20" xfId="0" applyFont="1" applyFill="1" applyBorder="1" applyAlignment="1">
      <alignment horizontal="center" vertical="center" textRotation="90"/>
    </xf>
    <xf numFmtId="0" fontId="9" fillId="0" borderId="22" xfId="0" applyFont="1" applyFill="1" applyBorder="1" applyAlignment="1">
      <alignment horizontal="center" vertical="center" textRotation="90"/>
    </xf>
    <xf numFmtId="0" fontId="9" fillId="0" borderId="17" xfId="0" applyFont="1" applyBorder="1" applyAlignment="1">
      <alignment horizontal="center" vertical="center" textRotation="90"/>
    </xf>
    <xf numFmtId="0" fontId="9" fillId="0" borderId="20" xfId="0" applyFont="1" applyBorder="1" applyAlignment="1">
      <alignment horizontal="center" vertical="center" textRotation="90"/>
    </xf>
    <xf numFmtId="0" fontId="9" fillId="0" borderId="29" xfId="0" applyFont="1" applyBorder="1" applyAlignment="1">
      <alignment horizontal="center" vertical="center" textRotation="9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wrapText="1"/>
    </xf>
    <xf numFmtId="0" fontId="19" fillId="0" borderId="21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wrapText="1"/>
    </xf>
    <xf numFmtId="0" fontId="19" fillId="0" borderId="30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zoomScale="63" zoomScaleNormal="150" workbookViewId="0">
      <selection activeCell="I18" sqref="I18"/>
    </sheetView>
  </sheetViews>
  <sheetFormatPr baseColWidth="10" defaultRowHeight="15.75"/>
  <cols>
    <col min="1" max="1" width="24.125" bestFit="1" customWidth="1"/>
    <col min="2" max="2" width="47.375" bestFit="1" customWidth="1"/>
    <col min="3" max="3" width="21.5" customWidth="1"/>
    <col min="4" max="4" width="26.125" bestFit="1" customWidth="1"/>
    <col min="5" max="5" width="14.625" customWidth="1"/>
    <col min="6" max="6" width="15" customWidth="1"/>
    <col min="8" max="8" width="56.125" customWidth="1"/>
    <col min="9" max="9" width="33" bestFit="1" customWidth="1"/>
    <col min="10" max="10" width="34" customWidth="1"/>
  </cols>
  <sheetData>
    <row r="1" spans="1:12" ht="16.5" thickBot="1">
      <c r="A1" s="42" t="s">
        <v>0</v>
      </c>
      <c r="B1" s="43" t="s">
        <v>1</v>
      </c>
      <c r="C1" s="43" t="s">
        <v>2</v>
      </c>
      <c r="D1" s="141" t="s">
        <v>3</v>
      </c>
      <c r="E1" s="43" t="s">
        <v>4</v>
      </c>
      <c r="F1" s="44" t="s">
        <v>5</v>
      </c>
    </row>
    <row r="2" spans="1:12" ht="26.1" customHeight="1">
      <c r="A2" s="187" t="s">
        <v>6</v>
      </c>
      <c r="B2" s="11" t="s">
        <v>7</v>
      </c>
      <c r="C2" s="45">
        <v>90.698275862068968</v>
      </c>
      <c r="D2" s="142">
        <v>1.8149637263099994</v>
      </c>
      <c r="E2" s="46">
        <v>0.9356289704460703</v>
      </c>
      <c r="F2" s="190"/>
      <c r="H2" s="170" t="s">
        <v>299</v>
      </c>
      <c r="I2" s="171"/>
      <c r="J2" s="171"/>
      <c r="K2" s="171"/>
      <c r="L2" s="172"/>
    </row>
    <row r="3" spans="1:12">
      <c r="A3" s="188"/>
      <c r="B3" s="3" t="s">
        <v>8</v>
      </c>
      <c r="C3" s="2">
        <v>14.6</v>
      </c>
      <c r="D3" s="143">
        <v>1.1322990278058895</v>
      </c>
      <c r="E3" s="1">
        <v>0.83755606887931022</v>
      </c>
      <c r="F3" s="191"/>
      <c r="H3" s="173"/>
      <c r="I3" s="174"/>
      <c r="J3" s="174"/>
      <c r="K3" s="174"/>
      <c r="L3" s="175"/>
    </row>
    <row r="4" spans="1:12">
      <c r="A4" s="188"/>
      <c r="B4" s="3" t="s">
        <v>9</v>
      </c>
      <c r="C4" s="2">
        <v>36.362068965517238</v>
      </c>
      <c r="D4" s="143">
        <v>0.37336092671277238</v>
      </c>
      <c r="E4" s="1">
        <v>0.16277918818965517</v>
      </c>
      <c r="F4" s="191"/>
      <c r="H4" s="173"/>
      <c r="I4" s="174"/>
      <c r="J4" s="174"/>
      <c r="K4" s="174"/>
      <c r="L4" s="175"/>
    </row>
    <row r="5" spans="1:12">
      <c r="A5" s="188"/>
      <c r="B5" s="3" t="s">
        <v>10</v>
      </c>
      <c r="C5" s="2">
        <v>10.431034482758621</v>
      </c>
      <c r="D5" s="143">
        <v>4.711487986206897E-2</v>
      </c>
      <c r="E5" s="1">
        <v>4.73151724137931E-2</v>
      </c>
      <c r="F5" s="191"/>
      <c r="H5" s="173"/>
      <c r="I5" s="174"/>
      <c r="J5" s="174"/>
      <c r="K5" s="174"/>
      <c r="L5" s="175"/>
    </row>
    <row r="6" spans="1:12">
      <c r="A6" s="188"/>
      <c r="B6" s="3" t="s">
        <v>11</v>
      </c>
      <c r="C6" s="2">
        <v>7.1255172413793106</v>
      </c>
      <c r="D6" s="143">
        <v>0.98105151459820017</v>
      </c>
      <c r="E6" s="1">
        <v>1.196622900574138</v>
      </c>
      <c r="F6" s="191"/>
      <c r="H6" s="173"/>
      <c r="I6" s="174"/>
      <c r="J6" s="174"/>
      <c r="K6" s="174"/>
      <c r="L6" s="175"/>
    </row>
    <row r="7" spans="1:12">
      <c r="A7" s="188"/>
      <c r="B7" s="3" t="s">
        <v>12</v>
      </c>
      <c r="C7" s="2">
        <v>6.3586206896551722</v>
      </c>
      <c r="D7" s="143">
        <v>5.5172925512913792E-2</v>
      </c>
      <c r="E7" s="1">
        <v>9.9675276206896549E-2</v>
      </c>
      <c r="F7" s="191"/>
      <c r="H7" s="173"/>
      <c r="I7" s="174"/>
      <c r="J7" s="174"/>
      <c r="K7" s="174"/>
      <c r="L7" s="175"/>
    </row>
    <row r="8" spans="1:12" ht="16.5" thickBot="1">
      <c r="A8" s="188"/>
      <c r="B8" s="3" t="s">
        <v>13</v>
      </c>
      <c r="C8" s="2">
        <v>4.4655172413793105</v>
      </c>
      <c r="D8" s="143">
        <v>0.13566223770704139</v>
      </c>
      <c r="E8" s="1">
        <v>0.1083125273275862</v>
      </c>
      <c r="F8" s="191"/>
      <c r="H8" s="176"/>
      <c r="I8" s="177"/>
      <c r="J8" s="177"/>
      <c r="K8" s="177"/>
      <c r="L8" s="178"/>
    </row>
    <row r="9" spans="1:12">
      <c r="A9" s="188"/>
      <c r="B9" s="3" t="s">
        <v>14</v>
      </c>
      <c r="C9" s="2">
        <v>4.4137931034482758</v>
      </c>
      <c r="D9" s="143">
        <v>2.4485404729103447E-2</v>
      </c>
      <c r="E9" s="1">
        <v>0.23089108965517241</v>
      </c>
      <c r="F9" s="191"/>
      <c r="H9" s="184" t="s">
        <v>353</v>
      </c>
      <c r="I9" s="185"/>
      <c r="J9" s="186"/>
    </row>
    <row r="10" spans="1:12" ht="47.25">
      <c r="A10" s="188"/>
      <c r="B10" s="3" t="s">
        <v>15</v>
      </c>
      <c r="C10" s="2">
        <v>3.6389655172413793</v>
      </c>
      <c r="D10" s="143">
        <v>5.9058385203034483E-2</v>
      </c>
      <c r="E10" s="1">
        <v>0.17387006381379311</v>
      </c>
      <c r="F10" s="191"/>
      <c r="H10" s="140" t="s">
        <v>378</v>
      </c>
      <c r="I10" s="108" t="s">
        <v>351</v>
      </c>
      <c r="J10" s="109" t="s">
        <v>352</v>
      </c>
    </row>
    <row r="11" spans="1:12" ht="16.5" thickBot="1">
      <c r="A11" s="188"/>
      <c r="B11" s="9" t="s">
        <v>16</v>
      </c>
      <c r="C11" s="47">
        <v>23.584827586206895</v>
      </c>
      <c r="D11" s="144">
        <v>0.48429601643529374</v>
      </c>
      <c r="E11" s="48">
        <v>0.95652928566564621</v>
      </c>
      <c r="F11" s="191"/>
      <c r="H11" s="168">
        <f>D12+E29+F32+F35+F36+F39+F42</f>
        <v>61.139353551041211</v>
      </c>
      <c r="I11" s="110">
        <f>SUM(D12,D29,F32,F35,F36,F37:F38,F40:F41)</f>
        <v>41.061410726412134</v>
      </c>
      <c r="J11" s="116">
        <f>E12+E29+F32+F35+F36+F37+F38+F40+F41</f>
        <v>60.781069049336963</v>
      </c>
    </row>
    <row r="12" spans="1:12" ht="16.5" thickBot="1">
      <c r="A12" s="189"/>
      <c r="B12" s="49" t="s">
        <v>17</v>
      </c>
      <c r="C12" s="50">
        <v>201.67862068965516</v>
      </c>
      <c r="D12" s="145">
        <v>5.1074650448763181</v>
      </c>
      <c r="E12" s="51">
        <v>4.7491805431720611</v>
      </c>
      <c r="F12" s="192"/>
    </row>
    <row r="13" spans="1:12">
      <c r="A13" s="193" t="s">
        <v>18</v>
      </c>
      <c r="B13" s="12" t="s">
        <v>19</v>
      </c>
      <c r="C13" s="161">
        <f>SUM(' Medications'!D4,' Medications'!D6)/5800</f>
        <v>8.770862068965517</v>
      </c>
      <c r="D13" s="52">
        <f>SUM(' Medications'!M4,' Medications'!M6)</f>
        <v>6.6582415622357061E-2</v>
      </c>
      <c r="E13" s="142">
        <f>SUM(' Medications'!O4,' Medications'!O6)</f>
        <v>0.46655198327586211</v>
      </c>
      <c r="F13" s="190"/>
    </row>
    <row r="14" spans="1:12">
      <c r="A14" s="194"/>
      <c r="B14" s="6" t="s">
        <v>20</v>
      </c>
      <c r="C14" s="40">
        <f>' Medications'!D5/5800</f>
        <v>5.25948275862069</v>
      </c>
      <c r="D14" s="37">
        <v>0.12927503570689658</v>
      </c>
      <c r="E14" s="143">
        <f>' Medications'!O5</f>
        <v>1.7540427594827586</v>
      </c>
      <c r="F14" s="191"/>
    </row>
    <row r="15" spans="1:12">
      <c r="A15" s="194"/>
      <c r="B15" s="6" t="s">
        <v>21</v>
      </c>
      <c r="C15" s="40">
        <f>SUM(' Medications'!D7,' Medications'!D9,' Medications'!D41:D42,' Medications'!D49,' Medications'!D51:D52)/5800</f>
        <v>5.546551724137931</v>
      </c>
      <c r="D15" s="37">
        <f>SUM(' Medications'!M7,' Medications'!M9,' Medications'!M41,' Medications'!M42,' Medications'!M49,' Medications'!M51:M52)</f>
        <v>0.24435277996965171</v>
      </c>
      <c r="E15" s="143">
        <f>SUM(' Medications'!O7,' Medications'!O9,' Medications'!O41,' Medications'!O42,' Medications'!O49,' Medications'!O51,' Medications'!O52)</f>
        <v>0.71197989784482751</v>
      </c>
      <c r="F15" s="191"/>
    </row>
    <row r="16" spans="1:12">
      <c r="A16" s="194"/>
      <c r="B16" s="38" t="s">
        <v>22</v>
      </c>
      <c r="C16" s="162">
        <f>SUM(' Medications'!D40,' Medications'!D43,' Medications'!D45,' Medications'!D46,' Medications'!D48)/5800</f>
        <v>2.7474137931034481</v>
      </c>
      <c r="D16" s="39">
        <f>SUM(' Medications'!M40,' Medications'!M43,' Medications'!M45,' Medications'!M46,' Medications'!M48)</f>
        <v>0.34566902183521381</v>
      </c>
      <c r="E16" s="146">
        <f>SUM(' Medications'!O40,' Medications'!O43,' Medications'!O45,' Medications'!O48,' Medications'!O46)</f>
        <v>0.76284205000000005</v>
      </c>
      <c r="F16" s="191"/>
    </row>
    <row r="17" spans="1:11">
      <c r="A17" s="194"/>
      <c r="B17" s="6" t="s">
        <v>23</v>
      </c>
      <c r="C17" s="40">
        <f>(' Medications'!D67+' Medications'!D68)/5800</f>
        <v>2.1993103448275861</v>
      </c>
      <c r="D17" s="37">
        <f>SUM(' Medications'!M67:M68)</f>
        <v>5.8422305374337923E-3</v>
      </c>
      <c r="E17" s="143">
        <f>SUM(' Medications'!O67:O68)</f>
        <v>2.3340607931034481E-2</v>
      </c>
      <c r="F17" s="191"/>
    </row>
    <row r="18" spans="1:11">
      <c r="A18" s="194"/>
      <c r="B18" s="6" t="s">
        <v>24</v>
      </c>
      <c r="C18" s="40">
        <f>' Medications'!D66/5800</f>
        <v>2.0706896551724139</v>
      </c>
      <c r="D18" s="37">
        <f>' Medications'!M66</f>
        <v>1.1983967496033908E-2</v>
      </c>
      <c r="E18" s="143">
        <f>' Medications'!O66</f>
        <v>0.12183730862068966</v>
      </c>
      <c r="F18" s="191"/>
    </row>
    <row r="19" spans="1:11">
      <c r="A19" s="194"/>
      <c r="B19" s="6" t="s">
        <v>25</v>
      </c>
      <c r="C19" s="40">
        <f>' Medications'!D8/5800</f>
        <v>1.9946551724137931</v>
      </c>
      <c r="D19" s="37">
        <f>' Medications'!M8</f>
        <v>1.893956923097569E-2</v>
      </c>
      <c r="E19" s="143">
        <f>' Medications'!O8</f>
        <v>9.7910641120689659E-2</v>
      </c>
      <c r="F19" s="191"/>
    </row>
    <row r="20" spans="1:11">
      <c r="A20" s="194"/>
      <c r="B20" s="6" t="s">
        <v>26</v>
      </c>
      <c r="C20" s="40">
        <f>SUM(' Medications'!D16,' Medications'!D23,' Medications'!D27,' Medications'!D29,' Medications'!D31:D33,' Medications'!D39)/5800</f>
        <v>1.8925862068965518</v>
      </c>
      <c r="D20" s="37">
        <f>SUM(' Medications'!M16,' Medications'!M23,' Medications'!M27,' Medications'!M29,' Medications'!M31:M33,' Medications'!M39)</f>
        <v>8.1732686739534474E-2</v>
      </c>
      <c r="E20" s="143">
        <f>SUM(' Medications'!O16,' Medications'!O23,' Medications'!O27,' Medications'!O29,' Medications'!O31:O33,' Medications'!O39)</f>
        <v>2.720464757068966</v>
      </c>
      <c r="F20" s="191"/>
    </row>
    <row r="21" spans="1:11">
      <c r="A21" s="194"/>
      <c r="B21" s="6" t="s">
        <v>27</v>
      </c>
      <c r="C21" s="40">
        <f>' Medications'!D18/5800</f>
        <v>0.50293103448275867</v>
      </c>
      <c r="D21" s="37">
        <f>' Medications'!M18</f>
        <v>3.4713947179606894E-2</v>
      </c>
      <c r="E21" s="143">
        <f>' Medications'!O18</f>
        <v>0.16988784025862069</v>
      </c>
      <c r="F21" s="191"/>
      <c r="I21" s="107"/>
      <c r="J21" s="107"/>
      <c r="K21" s="107"/>
    </row>
    <row r="22" spans="1:11">
      <c r="A22" s="194"/>
      <c r="B22" s="6" t="s">
        <v>28</v>
      </c>
      <c r="C22" s="40">
        <f>SUM(' Medications'!D44,' Medications'!D47,' Medications'!D53,' Medications'!D56,' Medications'!D59,' Medications'!D62,' Medications'!D64)/5800</f>
        <v>1.0829310344827585</v>
      </c>
      <c r="D22" s="37">
        <f>SUM(' Medications'!M44,' Medications'!M47,' Medications'!M53,' Medications'!M56,' Medications'!M59,' Medications'!M62,' Medications'!M64)</f>
        <v>8.4125173620689678E-2</v>
      </c>
      <c r="E22" s="143">
        <f>SUM(' Medications'!O44,' Medications'!O47,' Medications'!O53,' Medications'!O56,' Medications'!O59,' Medications'!O62,' Medications'!O64)</f>
        <v>0.49508056405172418</v>
      </c>
      <c r="F22" s="191"/>
    </row>
    <row r="23" spans="1:11">
      <c r="A23" s="194"/>
      <c r="B23" s="6" t="s">
        <v>29</v>
      </c>
      <c r="C23" s="40">
        <f>SUM(' Medications'!D55,' Medications'!D57:D58,' Medications'!D61,' Medications'!D63)/5800</f>
        <v>0.17879310344827587</v>
      </c>
      <c r="D23" s="37">
        <f>SUM(' Medications'!M55,' Medications'!M57:M58,' Medications'!M61,' Medications'!M63)</f>
        <v>7.5406458425172407E-2</v>
      </c>
      <c r="E23" s="143">
        <f>SUM(' Medications'!O55,' Medications'!O57:O58,' Medications'!O61,' Medications'!O63)</f>
        <v>1.6637099322413793</v>
      </c>
      <c r="F23" s="191"/>
    </row>
    <row r="24" spans="1:11">
      <c r="A24" s="194"/>
      <c r="B24" s="6" t="s">
        <v>30</v>
      </c>
      <c r="C24" s="40">
        <f>' Medications'!D74/5800</f>
        <v>0.28275862068965518</v>
      </c>
      <c r="D24" s="41">
        <f>' Medications'!M74</f>
        <v>4.7983770973965522E-4</v>
      </c>
      <c r="E24" s="147">
        <f>' Medications'!O74</f>
        <v>5.9014551724137932E-3</v>
      </c>
      <c r="F24" s="191"/>
      <c r="K24" s="36"/>
    </row>
    <row r="25" spans="1:11">
      <c r="A25" s="194"/>
      <c r="B25" s="6" t="s">
        <v>31</v>
      </c>
      <c r="C25" s="40">
        <f>SUM(' Medications'!D10:D15,' Medications'!D17,' Medications'!D19:D22,' Medications'!D24:D26,' Medications'!D28,' Medications'!D30,' Medications'!D34:D38,' Medications'!D50,' Medications'!D54,' Medications'!D60,' Medications'!D65)/5800</f>
        <v>9.3846551724137939</v>
      </c>
      <c r="D25" s="37">
        <f>SUM(' Medications'!M10:M15,' Medications'!M17,' Medications'!M19:M22,' Medications'!M24:M26,' Medications'!M28,' Medications'!M30,' Medications'!M34:M38,' Medications'!M50,' Medications'!M54,,' Medications'!M60,' Medications'!M65)</f>
        <v>0.15898578573523003</v>
      </c>
      <c r="E25" s="143">
        <f>SUM(' Medications'!O10:O15,' Medications'!O17,' Medications'!O19:O22,' Medications'!O24:O26,' Medications'!O28,' Medications'!O30,' Medications'!O34:O38,' Medications'!O50,' Medications'!O54,' Medications'!O60,' Medications'!O65)</f>
        <v>6.9572064070689645</v>
      </c>
      <c r="F25" s="191"/>
      <c r="K25" s="36"/>
    </row>
    <row r="26" spans="1:11" ht="16.5" thickBot="1">
      <c r="A26" s="194"/>
      <c r="B26" s="10" t="s">
        <v>32</v>
      </c>
      <c r="C26" s="53">
        <f>SUM(' Medications'!D69:D73,' Medications'!D75:D104)/5800</f>
        <v>5.2172413793103445</v>
      </c>
      <c r="D26" s="54">
        <f>SUM(' Medications'!M69:M73,' Medications'!M75:M104)</f>
        <v>0.15395242926928246</v>
      </c>
      <c r="E26" s="144">
        <f>SUM(' Medications'!O69:O73,' Medications'!O75:O104)</f>
        <v>5.539227959568966</v>
      </c>
      <c r="F26" s="191"/>
    </row>
    <row r="27" spans="1:11">
      <c r="A27" s="195"/>
      <c r="B27" s="136" t="s">
        <v>33</v>
      </c>
      <c r="C27" s="137">
        <f>SUM(C13:C16,C23,C19:C21,C25)</f>
        <v>36.277931034482762</v>
      </c>
      <c r="D27" s="137">
        <f>SUM(D13:D16,D23,D19:D21,D25)</f>
        <v>1.1556577004446387</v>
      </c>
      <c r="E27" s="148">
        <f t="shared" ref="E27" si="0">SUM(E13:E16,E23,E19:E21,E25)</f>
        <v>15.304596268362069</v>
      </c>
      <c r="F27" s="197"/>
    </row>
    <row r="28" spans="1:11">
      <c r="A28" s="195"/>
      <c r="B28" s="138" t="s">
        <v>34</v>
      </c>
      <c r="C28" s="139">
        <f>SUM(C17:C18,C22,C24,C26)</f>
        <v>10.852931034482758</v>
      </c>
      <c r="D28" s="139">
        <f t="shared" ref="D28:E28" si="1">SUM(D17:D18,D22,D24,D26)</f>
        <v>0.25638363863317948</v>
      </c>
      <c r="E28" s="149">
        <f t="shared" si="1"/>
        <v>6.185387895344828</v>
      </c>
      <c r="F28" s="197"/>
    </row>
    <row r="29" spans="1:11" ht="16.5" thickBot="1">
      <c r="A29" s="196"/>
      <c r="B29" s="57" t="s">
        <v>35</v>
      </c>
      <c r="C29" s="58">
        <f>SUM(C13:C26)</f>
        <v>47.130862068965527</v>
      </c>
      <c r="D29" s="58">
        <f>SUM(D13:D26)</f>
        <v>1.4120413390778184</v>
      </c>
      <c r="E29" s="150">
        <f>SUM(E13:E26)</f>
        <v>21.489984163706897</v>
      </c>
      <c r="F29" s="192"/>
    </row>
    <row r="30" spans="1:11">
      <c r="A30" s="187" t="s">
        <v>357</v>
      </c>
      <c r="B30" s="11" t="s">
        <v>359</v>
      </c>
      <c r="C30">
        <v>540.11008817946822</v>
      </c>
      <c r="D30" s="198"/>
      <c r="E30" s="198"/>
      <c r="F30" s="151">
        <v>1.1303334835096086</v>
      </c>
    </row>
    <row r="31" spans="1:11" ht="16.5" thickBot="1">
      <c r="A31" s="188"/>
      <c r="B31" s="9" t="s">
        <v>360</v>
      </c>
      <c r="C31" s="47">
        <v>0.69</v>
      </c>
      <c r="D31" s="199"/>
      <c r="E31" s="199"/>
      <c r="F31" s="152">
        <v>0.18762999999999999</v>
      </c>
    </row>
    <row r="32" spans="1:11" ht="16.5" thickBot="1">
      <c r="A32" s="189"/>
      <c r="B32" s="49" t="s">
        <v>358</v>
      </c>
      <c r="C32" s="129"/>
      <c r="D32" s="179"/>
      <c r="E32" s="180"/>
      <c r="F32" s="153">
        <f>F31+F30</f>
        <v>1.3179634835096086</v>
      </c>
    </row>
    <row r="33" spans="1:6" ht="16.5" thickBot="1">
      <c r="A33" s="181" t="s">
        <v>36</v>
      </c>
      <c r="B33" s="117" t="s">
        <v>37</v>
      </c>
      <c r="C33" s="117">
        <v>71.17737735071357</v>
      </c>
      <c r="D33" s="179"/>
      <c r="E33" s="180"/>
      <c r="F33" s="154">
        <v>15.16078137570199</v>
      </c>
    </row>
    <row r="34" spans="1:6" ht="16.5" thickBot="1">
      <c r="A34" s="182"/>
      <c r="B34" s="30" t="s">
        <v>38</v>
      </c>
      <c r="C34" s="30">
        <v>42.364478118970112</v>
      </c>
      <c r="D34" s="112"/>
      <c r="E34" s="113"/>
      <c r="F34" s="155">
        <v>2.202952862186442</v>
      </c>
    </row>
    <row r="35" spans="1:6" ht="16.5" thickBot="1">
      <c r="A35" s="182"/>
      <c r="B35" s="130" t="s">
        <v>39</v>
      </c>
      <c r="C35" s="130">
        <v>113.54185546968368</v>
      </c>
      <c r="D35" s="131"/>
      <c r="E35" s="132"/>
      <c r="F35" s="156">
        <v>17.363734237888433</v>
      </c>
    </row>
    <row r="36" spans="1:6" ht="16.5" thickBot="1">
      <c r="A36" s="133" t="s">
        <v>40</v>
      </c>
      <c r="B36" s="114"/>
      <c r="C36" s="114"/>
      <c r="D36" s="114"/>
      <c r="E36" s="114"/>
      <c r="F36" s="156">
        <v>8.2050956508620683</v>
      </c>
    </row>
    <row r="37" spans="1:6">
      <c r="A37" s="181" t="s">
        <v>354</v>
      </c>
      <c r="B37" s="11" t="s">
        <v>355</v>
      </c>
      <c r="C37" s="11">
        <v>2.5172413793103448</v>
      </c>
      <c r="D37" s="11"/>
      <c r="E37" s="11"/>
      <c r="F37" s="157">
        <v>5.1603448275862061</v>
      </c>
    </row>
    <row r="38" spans="1:6">
      <c r="A38" s="182"/>
      <c r="B38" s="117" t="s">
        <v>356</v>
      </c>
      <c r="C38" s="117">
        <v>1.1390034364261168</v>
      </c>
      <c r="D38" s="117"/>
      <c r="E38" s="117"/>
      <c r="F38" s="158">
        <v>2.3349570446735393</v>
      </c>
    </row>
    <row r="39" spans="1:6" ht="16.5" thickBot="1">
      <c r="A39" s="183"/>
      <c r="B39" s="135" t="s">
        <v>373</v>
      </c>
      <c r="C39" s="13"/>
      <c r="D39" s="13"/>
      <c r="E39" s="13"/>
      <c r="F39" s="159">
        <f>F38+F37</f>
        <v>7.4953018722597449</v>
      </c>
    </row>
    <row r="40" spans="1:6">
      <c r="A40" s="181" t="s">
        <v>374</v>
      </c>
      <c r="B40" s="134" t="s">
        <v>376</v>
      </c>
      <c r="C40" s="123">
        <v>5.1546391752577319E-3</v>
      </c>
      <c r="D40" s="123"/>
      <c r="E40" s="123"/>
      <c r="F40" s="160">
        <v>2.4966065292096221E-2</v>
      </c>
    </row>
    <row r="41" spans="1:6">
      <c r="A41" s="182"/>
      <c r="B41" s="118" t="s">
        <v>375</v>
      </c>
      <c r="C41" s="117">
        <v>6.7182130584192437E-2</v>
      </c>
      <c r="D41" s="117"/>
      <c r="E41" s="117"/>
      <c r="F41" s="158">
        <v>0.13484303264604813</v>
      </c>
    </row>
    <row r="42" spans="1:6" ht="16.5" thickBot="1">
      <c r="A42" s="183"/>
      <c r="B42" s="32" t="s">
        <v>373</v>
      </c>
      <c r="C42" s="13"/>
      <c r="D42" s="13"/>
      <c r="E42" s="13"/>
      <c r="F42" s="159">
        <f>F40+F41</f>
        <v>0.15980909793814435</v>
      </c>
    </row>
  </sheetData>
  <mergeCells count="14">
    <mergeCell ref="A40:A42"/>
    <mergeCell ref="A2:A12"/>
    <mergeCell ref="F2:F12"/>
    <mergeCell ref="A13:A29"/>
    <mergeCell ref="F13:F29"/>
    <mergeCell ref="A30:A32"/>
    <mergeCell ref="D32:E32"/>
    <mergeCell ref="D30:E30"/>
    <mergeCell ref="D31:E31"/>
    <mergeCell ref="H2:L8"/>
    <mergeCell ref="D33:E33"/>
    <mergeCell ref="A33:A35"/>
    <mergeCell ref="A37:A39"/>
    <mergeCell ref="H9:J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showGridLines="0" tabSelected="1" zoomScale="70" zoomScaleNormal="70" workbookViewId="0">
      <selection activeCell="D19" sqref="D19"/>
    </sheetView>
  </sheetViews>
  <sheetFormatPr baseColWidth="10" defaultRowHeight="15.75"/>
  <cols>
    <col min="2" max="2" width="51.375" customWidth="1"/>
    <col min="3" max="3" width="65.5" customWidth="1"/>
    <col min="4" max="4" width="17" style="66" customWidth="1"/>
    <col min="5" max="5" width="19.5" customWidth="1"/>
    <col min="6" max="6" width="11" bestFit="1" customWidth="1"/>
    <col min="7" max="7" width="16.375" customWidth="1"/>
    <col min="8" max="8" width="21.375" customWidth="1"/>
    <col min="9" max="9" width="16.125" customWidth="1"/>
    <col min="10" max="10" width="30" customWidth="1"/>
    <col min="11" max="11" width="17" customWidth="1"/>
    <col min="12" max="12" width="31.5" customWidth="1"/>
    <col min="13" max="13" width="38.375" style="66" customWidth="1"/>
    <col min="14" max="14" width="33.375" customWidth="1"/>
    <col min="15" max="15" width="39.125" style="66" customWidth="1"/>
    <col min="17" max="17" width="89.5" customWidth="1"/>
    <col min="29" max="29" width="11" bestFit="1" customWidth="1"/>
    <col min="30" max="30" width="13.625" bestFit="1" customWidth="1"/>
    <col min="31" max="31" width="11" bestFit="1" customWidth="1"/>
    <col min="32" max="32" width="11.125" bestFit="1" customWidth="1"/>
    <col min="33" max="33" width="13.375" bestFit="1" customWidth="1"/>
    <col min="34" max="37" width="11.125" bestFit="1" customWidth="1"/>
  </cols>
  <sheetData>
    <row r="1" spans="1:24" ht="31.5">
      <c r="A1" s="212"/>
      <c r="B1" s="213"/>
      <c r="C1" s="214"/>
      <c r="D1" s="220"/>
      <c r="E1" s="222"/>
      <c r="F1" s="225" t="s">
        <v>151</v>
      </c>
      <c r="G1" s="225"/>
      <c r="H1" s="225"/>
      <c r="I1" s="225"/>
      <c r="J1" s="225"/>
      <c r="K1" s="225"/>
      <c r="L1" s="225"/>
      <c r="M1" s="225"/>
      <c r="N1" s="225" t="s">
        <v>152</v>
      </c>
      <c r="O1" s="226"/>
    </row>
    <row r="2" spans="1:24" ht="18.75">
      <c r="A2" s="215"/>
      <c r="B2" s="216"/>
      <c r="C2" s="217"/>
      <c r="D2" s="221"/>
      <c r="E2" s="223"/>
      <c r="F2" s="224" t="s">
        <v>148</v>
      </c>
      <c r="G2" s="224"/>
      <c r="H2" s="8" t="s">
        <v>147</v>
      </c>
      <c r="I2" s="8" t="s">
        <v>136</v>
      </c>
      <c r="J2" s="224" t="s">
        <v>137</v>
      </c>
      <c r="K2" s="224"/>
      <c r="L2" s="224" t="s">
        <v>143</v>
      </c>
      <c r="M2" s="224"/>
      <c r="N2" s="218"/>
      <c r="O2" s="219"/>
      <c r="P2" s="5"/>
      <c r="Q2" s="5"/>
      <c r="R2" s="5"/>
      <c r="S2" s="5"/>
      <c r="T2" s="5"/>
    </row>
    <row r="3" spans="1:24" ht="38.25" thickBot="1">
      <c r="A3" s="15"/>
      <c r="B3" s="169" t="s">
        <v>0</v>
      </c>
      <c r="C3" s="16" t="s">
        <v>146</v>
      </c>
      <c r="D3" s="60" t="s">
        <v>134</v>
      </c>
      <c r="E3" s="16" t="s">
        <v>149</v>
      </c>
      <c r="F3" s="16" t="s">
        <v>150</v>
      </c>
      <c r="G3" s="16" t="s">
        <v>142</v>
      </c>
      <c r="H3" s="16" t="s">
        <v>142</v>
      </c>
      <c r="I3" s="16" t="s">
        <v>142</v>
      </c>
      <c r="J3" s="16" t="s">
        <v>138</v>
      </c>
      <c r="K3" s="16" t="s">
        <v>142</v>
      </c>
      <c r="L3" s="16" t="s">
        <v>144</v>
      </c>
      <c r="M3" s="67" t="s">
        <v>145</v>
      </c>
      <c r="N3" s="16" t="s">
        <v>144</v>
      </c>
      <c r="O3" s="70" t="s">
        <v>145</v>
      </c>
    </row>
    <row r="4" spans="1:24" s="4" customFormat="1">
      <c r="A4" s="206" t="s">
        <v>153</v>
      </c>
      <c r="B4" s="6" t="s">
        <v>394</v>
      </c>
      <c r="C4" s="12" t="s">
        <v>42</v>
      </c>
      <c r="D4" s="61">
        <v>38910</v>
      </c>
      <c r="E4" s="12">
        <v>0.110995</v>
      </c>
      <c r="F4" s="12">
        <v>3</v>
      </c>
      <c r="G4" s="12">
        <v>6.0000000000000001E-3</v>
      </c>
      <c r="H4" s="12">
        <v>6.2399999999999999E-4</v>
      </c>
      <c r="I4" s="12">
        <v>7.4520000000000001E-4</v>
      </c>
      <c r="J4" s="12" t="s">
        <v>43</v>
      </c>
      <c r="K4" s="12">
        <v>3.2306765999999993E-4</v>
      </c>
      <c r="L4" s="12">
        <v>7.6922676599999991E-3</v>
      </c>
      <c r="M4" s="61">
        <f>L4*D4/5800</f>
        <v>5.1604505974241377E-2</v>
      </c>
      <c r="N4" s="12">
        <v>5.5497499999999998E-2</v>
      </c>
      <c r="O4" s="71">
        <v>0.37231167672413795</v>
      </c>
      <c r="Q4" s="200" t="s">
        <v>227</v>
      </c>
      <c r="R4" s="59"/>
      <c r="S4" s="59"/>
      <c r="T4" s="59"/>
      <c r="U4" s="59"/>
      <c r="V4" s="59"/>
      <c r="W4" s="59"/>
      <c r="X4" s="59"/>
    </row>
    <row r="5" spans="1:24" s="4" customFormat="1">
      <c r="A5" s="207"/>
      <c r="B5" s="6" t="s">
        <v>393</v>
      </c>
      <c r="C5" s="6" t="s">
        <v>44</v>
      </c>
      <c r="D5" s="38">
        <v>30505</v>
      </c>
      <c r="E5" s="6">
        <v>0.66700199999999998</v>
      </c>
      <c r="F5" s="6">
        <v>10.5</v>
      </c>
      <c r="G5" s="6">
        <v>9.6915000000000005E-3</v>
      </c>
      <c r="H5" s="6">
        <v>1.9499999999999999E-3</v>
      </c>
      <c r="I5" s="6">
        <v>1.0711500000000001E-2</v>
      </c>
      <c r="J5" s="6" t="s">
        <v>45</v>
      </c>
      <c r="K5" s="6">
        <v>2.2264199999999998E-3</v>
      </c>
      <c r="L5" s="6">
        <v>2.4579420000000001E-2</v>
      </c>
      <c r="M5" s="38">
        <f t="shared" ref="M5:M68" si="0">L5*D5/5800</f>
        <v>0.12927503570689658</v>
      </c>
      <c r="N5" s="6">
        <v>0.33350099999999999</v>
      </c>
      <c r="O5" s="72">
        <v>1.7540427594827586</v>
      </c>
      <c r="Q5" s="201"/>
      <c r="R5" s="59"/>
      <c r="S5" s="59"/>
      <c r="T5" s="59"/>
      <c r="U5" s="59"/>
      <c r="V5" s="59"/>
      <c r="W5" s="59"/>
      <c r="X5" s="59"/>
    </row>
    <row r="6" spans="1:24" s="4" customFormat="1">
      <c r="A6" s="207"/>
      <c r="B6" s="6" t="s">
        <v>394</v>
      </c>
      <c r="C6" s="6" t="s">
        <v>46</v>
      </c>
      <c r="D6" s="38">
        <v>11961</v>
      </c>
      <c r="E6" s="6">
        <v>9.1396000000000005E-2</v>
      </c>
      <c r="F6" s="6">
        <v>3</v>
      </c>
      <c r="G6" s="6">
        <v>6.0000000000000001E-3</v>
      </c>
      <c r="H6" s="6">
        <v>3.5490000000000001E-4</v>
      </c>
      <c r="I6" s="6">
        <v>6.3341999999999999E-4</v>
      </c>
      <c r="J6" s="6" t="s">
        <v>43</v>
      </c>
      <c r="K6" s="6">
        <v>2.7460751099999997E-4</v>
      </c>
      <c r="L6" s="6">
        <v>7.2629275109999999E-3</v>
      </c>
      <c r="M6" s="38">
        <f t="shared" si="0"/>
        <v>1.4977909648115691E-2</v>
      </c>
      <c r="N6" s="6">
        <v>4.5698000000000003E-2</v>
      </c>
      <c r="O6" s="72">
        <v>9.4240306551724148E-2</v>
      </c>
      <c r="Q6" s="201"/>
      <c r="R6" s="59"/>
      <c r="S6" s="59"/>
      <c r="T6" s="59"/>
      <c r="U6" s="59"/>
      <c r="V6" s="59"/>
      <c r="W6" s="59"/>
      <c r="X6" s="59"/>
    </row>
    <row r="7" spans="1:24" s="4" customFormat="1">
      <c r="A7" s="207"/>
      <c r="B7" s="6" t="s">
        <v>394</v>
      </c>
      <c r="C7" s="6" t="s">
        <v>47</v>
      </c>
      <c r="D7" s="38">
        <v>11936</v>
      </c>
      <c r="E7" s="6">
        <v>6.0544000000000001E-2</v>
      </c>
      <c r="F7" s="6">
        <v>3</v>
      </c>
      <c r="G7" s="6">
        <v>6.0000000000000001E-3</v>
      </c>
      <c r="H7" s="6">
        <v>3.3345E-4</v>
      </c>
      <c r="I7" s="6">
        <v>6.2451E-4</v>
      </c>
      <c r="J7" s="6" t="s">
        <v>48</v>
      </c>
      <c r="K7" s="6">
        <v>7.0187984999999994E-4</v>
      </c>
      <c r="L7" s="6">
        <v>7.65983985E-3</v>
      </c>
      <c r="M7" s="38">
        <f t="shared" si="0"/>
        <v>1.5763422146482759E-2</v>
      </c>
      <c r="N7" s="6">
        <v>3.0272E-2</v>
      </c>
      <c r="O7" s="72">
        <v>6.2297688275862073E-2</v>
      </c>
      <c r="Q7" s="201"/>
      <c r="R7" s="59"/>
      <c r="S7" s="59"/>
      <c r="T7" s="59"/>
      <c r="U7" s="59"/>
      <c r="V7" s="59"/>
      <c r="W7" s="59"/>
      <c r="X7" s="59"/>
    </row>
    <row r="8" spans="1:24" s="4" customFormat="1" ht="16.5" thickBot="1">
      <c r="A8" s="207"/>
      <c r="B8" s="6" t="s">
        <v>394</v>
      </c>
      <c r="C8" s="6" t="s">
        <v>49</v>
      </c>
      <c r="D8" s="38">
        <v>11569</v>
      </c>
      <c r="E8" s="6">
        <v>9.8172999999999996E-2</v>
      </c>
      <c r="F8" s="6">
        <v>4</v>
      </c>
      <c r="G8" s="6">
        <v>8.0000000000000002E-3</v>
      </c>
      <c r="H8" s="6">
        <v>3.5490000000000001E-4</v>
      </c>
      <c r="I8" s="6">
        <v>7.9542000000000002E-4</v>
      </c>
      <c r="J8" s="6" t="s">
        <v>43</v>
      </c>
      <c r="K8" s="6">
        <v>3.4483961099999999E-4</v>
      </c>
      <c r="L8" s="6">
        <v>9.4951596110000001E-3</v>
      </c>
      <c r="M8" s="38">
        <f t="shared" si="0"/>
        <v>1.893956923097569E-2</v>
      </c>
      <c r="N8" s="6">
        <v>4.9086500000000005E-2</v>
      </c>
      <c r="O8" s="72">
        <v>9.7910641120689659E-2</v>
      </c>
      <c r="Q8" s="202"/>
      <c r="R8" s="59"/>
      <c r="S8" s="59"/>
      <c r="T8" s="59"/>
      <c r="U8" s="59"/>
      <c r="V8" s="59"/>
      <c r="W8" s="59"/>
      <c r="X8" s="59"/>
    </row>
    <row r="9" spans="1:24" s="4" customFormat="1">
      <c r="A9" s="207"/>
      <c r="B9" s="6" t="s">
        <v>394</v>
      </c>
      <c r="C9" s="6" t="s">
        <v>50</v>
      </c>
      <c r="D9" s="38">
        <v>7987</v>
      </c>
      <c r="E9" s="6">
        <v>0.19479199999999999</v>
      </c>
      <c r="F9" s="6">
        <v>3</v>
      </c>
      <c r="G9" s="6">
        <v>6.0000000000000001E-3</v>
      </c>
      <c r="H9" s="6">
        <v>4.5825E-4</v>
      </c>
      <c r="I9" s="6">
        <v>6.7635000000000004E-4</v>
      </c>
      <c r="J9" s="6" t="s">
        <v>51</v>
      </c>
      <c r="K9" s="6">
        <v>6.2179109999999983E-4</v>
      </c>
      <c r="L9" s="6">
        <v>7.7563911000000001E-3</v>
      </c>
      <c r="M9" s="38">
        <f t="shared" si="0"/>
        <v>1.0681085468224138E-2</v>
      </c>
      <c r="N9" s="6">
        <v>9.7395999999999996E-2</v>
      </c>
      <c r="O9" s="72">
        <v>0.13412100896551724</v>
      </c>
      <c r="Q9" s="59"/>
      <c r="R9" s="59"/>
      <c r="S9" s="59"/>
      <c r="T9" s="59"/>
      <c r="U9" s="59"/>
      <c r="V9" s="59"/>
      <c r="W9" s="59"/>
      <c r="X9" s="59"/>
    </row>
    <row r="10" spans="1:24" s="4" customFormat="1">
      <c r="A10" s="207"/>
      <c r="B10" s="6" t="s">
        <v>395</v>
      </c>
      <c r="C10" s="6" t="s">
        <v>52</v>
      </c>
      <c r="D10" s="38">
        <v>7225</v>
      </c>
      <c r="E10" s="6">
        <v>2.9952139999999998</v>
      </c>
      <c r="F10" s="6">
        <v>6.5</v>
      </c>
      <c r="G10" s="6">
        <v>5.9994999999999996E-3</v>
      </c>
      <c r="H10" s="6">
        <v>3.2827999999999998E-3</v>
      </c>
      <c r="I10" s="6">
        <v>6.6997400000000009E-3</v>
      </c>
      <c r="J10" s="6" t="s">
        <v>53</v>
      </c>
      <c r="K10" s="6">
        <v>1.5036613199999999E-3</v>
      </c>
      <c r="L10" s="6">
        <v>1.7485701320000002E-2</v>
      </c>
      <c r="M10" s="38">
        <f t="shared" si="0"/>
        <v>2.1781757247758621E-2</v>
      </c>
      <c r="N10" s="6">
        <v>1.4976069999999999</v>
      </c>
      <c r="O10" s="72">
        <v>1.865553547413793</v>
      </c>
      <c r="Q10" s="59"/>
      <c r="R10" s="59"/>
      <c r="S10" s="59"/>
      <c r="T10" s="59"/>
      <c r="U10" s="59"/>
      <c r="V10" s="59"/>
      <c r="W10" s="59"/>
      <c r="X10" s="59"/>
    </row>
    <row r="11" spans="1:24" s="4" customFormat="1">
      <c r="A11" s="207"/>
      <c r="B11" s="6" t="s">
        <v>396</v>
      </c>
      <c r="C11" s="6" t="s">
        <v>54</v>
      </c>
      <c r="D11" s="38">
        <v>5793</v>
      </c>
      <c r="E11" s="6">
        <v>0.37254100000000001</v>
      </c>
      <c r="F11" s="6">
        <v>3.5</v>
      </c>
      <c r="G11" s="6">
        <v>3.2304999999999999E-3</v>
      </c>
      <c r="H11" s="6">
        <v>2.3779999999999999E-3</v>
      </c>
      <c r="I11" s="6">
        <v>3.4949E-3</v>
      </c>
      <c r="J11" s="6" t="s">
        <v>55</v>
      </c>
      <c r="K11" s="6">
        <v>3.5074501999999994E-4</v>
      </c>
      <c r="L11" s="6">
        <v>9.4541450199999988E-3</v>
      </c>
      <c r="M11" s="38">
        <f t="shared" si="0"/>
        <v>9.4427348449758614E-3</v>
      </c>
      <c r="N11" s="6">
        <v>0.18627050000000001</v>
      </c>
      <c r="O11" s="72">
        <v>0.18604569077586205</v>
      </c>
      <c r="Q11" s="59"/>
      <c r="R11" s="59"/>
      <c r="S11" s="59"/>
      <c r="T11" s="59"/>
      <c r="U11" s="59"/>
      <c r="V11" s="59"/>
      <c r="W11" s="59"/>
      <c r="X11" s="59"/>
    </row>
    <row r="12" spans="1:24" s="4" customFormat="1">
      <c r="A12" s="207"/>
      <c r="B12" s="6" t="s">
        <v>394</v>
      </c>
      <c r="C12" s="6" t="s">
        <v>56</v>
      </c>
      <c r="D12" s="38">
        <v>4970</v>
      </c>
      <c r="E12" s="6">
        <v>3.9916999999999998</v>
      </c>
      <c r="F12" s="6">
        <v>6</v>
      </c>
      <c r="G12" s="6">
        <v>1.2E-2</v>
      </c>
      <c r="H12" s="6">
        <v>3.6269999999999998E-4</v>
      </c>
      <c r="I12" s="6">
        <v>1.1226599999999999E-3</v>
      </c>
      <c r="J12" s="6" t="s">
        <v>57</v>
      </c>
      <c r="K12" s="6">
        <v>4.8670845299999995E-4</v>
      </c>
      <c r="L12" s="6">
        <v>1.3972068452999999E-2</v>
      </c>
      <c r="M12" s="38">
        <f t="shared" si="0"/>
        <v>1.197261727782931E-2</v>
      </c>
      <c r="N12" s="6">
        <v>1.9958499999999999</v>
      </c>
      <c r="O12" s="72">
        <v>1.7102369827586206</v>
      </c>
      <c r="Q12" s="59"/>
      <c r="R12" s="59"/>
      <c r="S12" s="59"/>
      <c r="T12" s="59"/>
      <c r="U12" s="59"/>
      <c r="V12" s="59"/>
      <c r="W12" s="59"/>
      <c r="X12" s="59"/>
    </row>
    <row r="13" spans="1:24" s="4" customFormat="1">
      <c r="A13" s="207"/>
      <c r="B13" s="6" t="s">
        <v>397</v>
      </c>
      <c r="C13" s="6" t="s">
        <v>58</v>
      </c>
      <c r="D13" s="38">
        <v>4200</v>
      </c>
      <c r="E13" s="6">
        <v>0.388013</v>
      </c>
      <c r="F13" s="6">
        <v>1.375</v>
      </c>
      <c r="G13" s="6">
        <v>1.2691250000000001E-3</v>
      </c>
      <c r="H13" s="6">
        <v>1.359E-3</v>
      </c>
      <c r="I13" s="6">
        <v>1.432705E-3</v>
      </c>
      <c r="J13" s="6" t="s">
        <v>93</v>
      </c>
      <c r="K13" s="6">
        <v>1.4813100449999998E-4</v>
      </c>
      <c r="L13" s="6">
        <v>4.2089610045000008E-3</v>
      </c>
      <c r="M13" s="38">
        <f t="shared" si="0"/>
        <v>3.0478683136034488E-3</v>
      </c>
      <c r="N13" s="6">
        <v>0.1940065</v>
      </c>
      <c r="O13" s="72">
        <v>0.14048746551724139</v>
      </c>
      <c r="Q13" s="59"/>
      <c r="R13" s="59"/>
      <c r="S13" s="59"/>
      <c r="T13" s="59"/>
      <c r="U13" s="59"/>
      <c r="V13" s="59"/>
      <c r="W13" s="59"/>
      <c r="X13" s="59"/>
    </row>
    <row r="14" spans="1:24" s="4" customFormat="1">
      <c r="A14" s="207"/>
      <c r="B14" s="6" t="s">
        <v>398</v>
      </c>
      <c r="C14" s="6" t="s">
        <v>59</v>
      </c>
      <c r="D14" s="38">
        <v>4044</v>
      </c>
      <c r="E14" s="6">
        <v>1.8029999999999999</v>
      </c>
      <c r="F14" s="6">
        <v>1.5</v>
      </c>
      <c r="G14" s="6">
        <v>1.3844999999999999E-3</v>
      </c>
      <c r="H14" s="6">
        <v>1.4323000000000001E-3</v>
      </c>
      <c r="I14" s="6">
        <v>1.5651599999999999E-3</v>
      </c>
      <c r="J14" s="6" t="s">
        <v>60</v>
      </c>
      <c r="K14" s="6">
        <v>4.0446378000000001E-4</v>
      </c>
      <c r="L14" s="6">
        <v>4.7864237800000001E-3</v>
      </c>
      <c r="M14" s="38">
        <f t="shared" si="0"/>
        <v>3.3372927183310348E-3</v>
      </c>
      <c r="N14" s="6">
        <v>0.90149999999999997</v>
      </c>
      <c r="O14" s="72">
        <v>0.62856310344827582</v>
      </c>
      <c r="Q14" s="59"/>
      <c r="R14" s="59"/>
      <c r="S14" s="59"/>
      <c r="T14" s="59"/>
      <c r="U14" s="59"/>
      <c r="V14" s="59"/>
      <c r="W14" s="59"/>
      <c r="X14" s="59"/>
    </row>
    <row r="15" spans="1:24" s="4" customFormat="1">
      <c r="A15" s="207"/>
      <c r="B15" s="6" t="s">
        <v>394</v>
      </c>
      <c r="C15" s="6" t="s">
        <v>61</v>
      </c>
      <c r="D15" s="38">
        <v>3638</v>
      </c>
      <c r="E15" s="6">
        <v>0.26550299999999999</v>
      </c>
      <c r="F15" s="6">
        <v>4.5</v>
      </c>
      <c r="G15" s="6">
        <v>4.1535000000000001E-3</v>
      </c>
      <c r="H15" s="6">
        <v>2.2361999999999998E-3</v>
      </c>
      <c r="I15" s="6">
        <v>4.5059399999999999E-3</v>
      </c>
      <c r="J15" s="6" t="s">
        <v>62</v>
      </c>
      <c r="K15" s="6">
        <v>3.7358683199999995E-4</v>
      </c>
      <c r="L15" s="6">
        <v>1.1269226832E-2</v>
      </c>
      <c r="M15" s="38">
        <f t="shared" si="0"/>
        <v>7.0685253818648271E-3</v>
      </c>
      <c r="N15" s="6">
        <v>0.13275149999999999</v>
      </c>
      <c r="O15" s="72">
        <v>8.3267233965517232E-2</v>
      </c>
      <c r="Q15" s="59"/>
      <c r="R15" s="59"/>
      <c r="S15" s="59"/>
      <c r="T15" s="59"/>
      <c r="U15" s="59"/>
      <c r="V15" s="59"/>
      <c r="W15" s="59"/>
      <c r="X15" s="59"/>
    </row>
    <row r="16" spans="1:24" s="4" customFormat="1">
      <c r="A16" s="207"/>
      <c r="B16" s="6" t="s">
        <v>399</v>
      </c>
      <c r="C16" s="6" t="s">
        <v>63</v>
      </c>
      <c r="D16" s="38">
        <v>3603</v>
      </c>
      <c r="E16" s="6">
        <v>1.325258</v>
      </c>
      <c r="F16" s="6">
        <v>28</v>
      </c>
      <c r="G16" s="6">
        <v>2.5843999999999999E-2</v>
      </c>
      <c r="H16" s="6">
        <v>7.2150000000000003E-4</v>
      </c>
      <c r="I16" s="6">
        <v>4.8357000000000001E-3</v>
      </c>
      <c r="J16" s="6" t="s">
        <v>64</v>
      </c>
      <c r="K16" s="6">
        <v>5.1414236999999998E-3</v>
      </c>
      <c r="L16" s="6">
        <v>3.6542623699999999E-2</v>
      </c>
      <c r="M16" s="38">
        <f t="shared" si="0"/>
        <v>2.2700529860534481E-2</v>
      </c>
      <c r="N16" s="6">
        <v>0.66262900000000002</v>
      </c>
      <c r="O16" s="72">
        <v>0.4116297046551724</v>
      </c>
      <c r="Q16" s="59"/>
      <c r="R16" s="59"/>
      <c r="S16" s="59"/>
      <c r="T16" s="59"/>
      <c r="U16" s="59"/>
      <c r="V16" s="59"/>
      <c r="W16" s="59"/>
      <c r="X16" s="59"/>
    </row>
    <row r="17" spans="1:24" s="4" customFormat="1">
      <c r="A17" s="207"/>
      <c r="B17" s="6" t="s">
        <v>398</v>
      </c>
      <c r="C17" s="6" t="s">
        <v>65</v>
      </c>
      <c r="D17" s="38">
        <v>3216</v>
      </c>
      <c r="E17" s="6">
        <v>1.1404920000000001</v>
      </c>
      <c r="F17" s="6">
        <v>11</v>
      </c>
      <c r="G17" s="6">
        <v>0</v>
      </c>
      <c r="H17" s="6">
        <v>7.607E-3</v>
      </c>
      <c r="I17" s="6">
        <v>1.0994E-2</v>
      </c>
      <c r="J17" s="6" t="s">
        <v>66</v>
      </c>
      <c r="K17" s="6">
        <v>4.0533269999999997E-4</v>
      </c>
      <c r="L17" s="6">
        <v>1.90063327E-2</v>
      </c>
      <c r="M17" s="38">
        <f t="shared" si="0"/>
        <v>1.053868378675862E-2</v>
      </c>
      <c r="N17" s="6">
        <v>0.57024600000000003</v>
      </c>
      <c r="O17" s="72">
        <v>0.31619157517241381</v>
      </c>
      <c r="Q17" s="59"/>
      <c r="R17" s="59"/>
      <c r="S17" s="59"/>
      <c r="T17" s="59"/>
      <c r="U17" s="59"/>
      <c r="V17" s="59"/>
      <c r="W17" s="59"/>
      <c r="X17" s="59"/>
    </row>
    <row r="18" spans="1:24" s="4" customFormat="1">
      <c r="A18" s="207"/>
      <c r="B18" s="6" t="s">
        <v>397</v>
      </c>
      <c r="C18" s="6" t="s">
        <v>67</v>
      </c>
      <c r="D18" s="38">
        <v>2917</v>
      </c>
      <c r="E18" s="6">
        <v>0.67559100000000005</v>
      </c>
      <c r="F18" s="6">
        <v>25</v>
      </c>
      <c r="G18" s="6">
        <v>5.45E-2</v>
      </c>
      <c r="H18" s="6">
        <v>3.7556999999999998E-3</v>
      </c>
      <c r="I18" s="6">
        <v>5.61006E-3</v>
      </c>
      <c r="J18" s="6" t="s">
        <v>68</v>
      </c>
      <c r="K18" s="6">
        <v>5.1575151599999982E-3</v>
      </c>
      <c r="L18" s="6">
        <v>6.9023275159999994E-2</v>
      </c>
      <c r="M18" s="38">
        <f t="shared" si="0"/>
        <v>3.4713947179606894E-2</v>
      </c>
      <c r="N18" s="6">
        <v>0.33779550000000003</v>
      </c>
      <c r="O18" s="72">
        <v>0.16988784025862069</v>
      </c>
      <c r="Q18" s="59"/>
      <c r="R18" s="59"/>
      <c r="S18" s="59"/>
      <c r="T18" s="59"/>
      <c r="U18" s="59"/>
      <c r="V18" s="59"/>
      <c r="W18" s="59"/>
      <c r="X18" s="59"/>
    </row>
    <row r="19" spans="1:24" s="4" customFormat="1">
      <c r="A19" s="207"/>
      <c r="B19" s="6" t="s">
        <v>393</v>
      </c>
      <c r="C19" s="6" t="s">
        <v>69</v>
      </c>
      <c r="D19" s="38">
        <v>2284</v>
      </c>
      <c r="E19" s="6">
        <v>0.63403799999999999</v>
      </c>
      <c r="F19" s="6">
        <v>3.5</v>
      </c>
      <c r="G19" s="6">
        <v>3.2304999999999999E-3</v>
      </c>
      <c r="H19" s="6">
        <v>4.4089000000000003E-3</v>
      </c>
      <c r="I19" s="6">
        <v>3.5451200000000001E-3</v>
      </c>
      <c r="J19" s="6" t="s">
        <v>141</v>
      </c>
      <c r="K19" s="6">
        <v>5.5045871999999992E-4</v>
      </c>
      <c r="L19" s="6">
        <v>1.1734978720000001E-2</v>
      </c>
      <c r="M19" s="38">
        <f t="shared" si="0"/>
        <v>4.6211536890482761E-3</v>
      </c>
      <c r="N19" s="6">
        <v>0.317019</v>
      </c>
      <c r="O19" s="72">
        <v>0.12483989586206895</v>
      </c>
      <c r="T19" s="59"/>
      <c r="U19" s="59"/>
    </row>
    <row r="20" spans="1:24" s="4" customFormat="1">
      <c r="A20" s="207"/>
      <c r="B20" s="6" t="s">
        <v>400</v>
      </c>
      <c r="C20" s="6" t="s">
        <v>70</v>
      </c>
      <c r="D20" s="38">
        <v>2195</v>
      </c>
      <c r="E20" s="6">
        <v>0.39278400000000002</v>
      </c>
      <c r="F20" s="6">
        <v>23</v>
      </c>
      <c r="G20" s="6">
        <v>2.1229000000000001E-2</v>
      </c>
      <c r="H20" s="6">
        <v>3.8181999999999999E-3</v>
      </c>
      <c r="I20" s="6">
        <v>2.211668E-2</v>
      </c>
      <c r="J20" s="6" t="s">
        <v>55</v>
      </c>
      <c r="K20" s="6">
        <v>1.9134260239999997E-3</v>
      </c>
      <c r="L20" s="6">
        <v>4.9077306024000004E-2</v>
      </c>
      <c r="M20" s="38">
        <f t="shared" si="0"/>
        <v>1.8573221848737931E-2</v>
      </c>
      <c r="N20" s="6">
        <v>0.19639200000000001</v>
      </c>
      <c r="O20" s="72">
        <v>7.4324213793103444E-2</v>
      </c>
      <c r="T20" s="59"/>
      <c r="U20" s="59"/>
    </row>
    <row r="21" spans="1:24" s="4" customFormat="1">
      <c r="A21" s="207"/>
      <c r="B21" s="6" t="s">
        <v>400</v>
      </c>
      <c r="C21" s="6" t="s">
        <v>71</v>
      </c>
      <c r="D21" s="38">
        <v>2090</v>
      </c>
      <c r="E21" s="6">
        <v>0.81533999999999995</v>
      </c>
      <c r="F21" s="6">
        <v>13</v>
      </c>
      <c r="G21" s="6">
        <v>1.1998999999999999E-2</v>
      </c>
      <c r="H21" s="6">
        <v>6.7470000000000008E-4</v>
      </c>
      <c r="I21" s="6">
        <v>2.3862600000000003E-3</v>
      </c>
      <c r="J21" s="6" t="s">
        <v>72</v>
      </c>
      <c r="K21" s="6">
        <v>2.3144070599999999E-3</v>
      </c>
      <c r="L21" s="6">
        <v>1.737436706E-2</v>
      </c>
      <c r="M21" s="38">
        <f t="shared" si="0"/>
        <v>6.2607633026551725E-3</v>
      </c>
      <c r="N21" s="6">
        <v>0.40766999999999998</v>
      </c>
      <c r="O21" s="72">
        <v>0.14690177586206896</v>
      </c>
      <c r="T21" s="59"/>
      <c r="U21" s="59"/>
    </row>
    <row r="22" spans="1:24" s="4" customFormat="1">
      <c r="A22" s="207"/>
      <c r="B22" s="6" t="s">
        <v>394</v>
      </c>
      <c r="C22" s="6" t="s">
        <v>73</v>
      </c>
      <c r="D22" s="38">
        <v>2079</v>
      </c>
      <c r="E22" s="6">
        <v>1.5927979999999999</v>
      </c>
      <c r="F22" s="6">
        <v>6.5</v>
      </c>
      <c r="G22" s="6">
        <v>5.9994999999999996E-3</v>
      </c>
      <c r="H22" s="6">
        <v>3.5578000000000003E-3</v>
      </c>
      <c r="I22" s="6">
        <v>6.5442200000000008E-3</v>
      </c>
      <c r="J22" s="6" t="s">
        <v>74</v>
      </c>
      <c r="K22" s="6">
        <v>3.2937177000000003E-4</v>
      </c>
      <c r="L22" s="6">
        <v>1.6430891770000001E-2</v>
      </c>
      <c r="M22" s="38">
        <f t="shared" si="0"/>
        <v>5.8896248258327594E-3</v>
      </c>
      <c r="N22" s="6">
        <v>0.79639899999999997</v>
      </c>
      <c r="O22" s="72">
        <v>0.28546784844827583</v>
      </c>
      <c r="T22" s="59"/>
      <c r="U22" s="59"/>
    </row>
    <row r="23" spans="1:24" s="4" customFormat="1">
      <c r="A23" s="207"/>
      <c r="B23" s="6" t="s">
        <v>399</v>
      </c>
      <c r="C23" s="6" t="s">
        <v>75</v>
      </c>
      <c r="D23" s="38">
        <v>1992</v>
      </c>
      <c r="E23" s="6">
        <v>6.1606880000000004</v>
      </c>
      <c r="F23" s="6">
        <v>34</v>
      </c>
      <c r="G23" s="6">
        <v>3.1382E-2</v>
      </c>
      <c r="H23" s="6">
        <v>7.6440000000000004E-4</v>
      </c>
      <c r="I23" s="6">
        <v>5.8255199999999998E-3</v>
      </c>
      <c r="J23" s="6" t="s">
        <v>76</v>
      </c>
      <c r="K23" s="6">
        <v>3.8788253999999999E-4</v>
      </c>
      <c r="L23" s="6">
        <v>3.8359802540000001E-2</v>
      </c>
      <c r="M23" s="38">
        <f t="shared" si="0"/>
        <v>1.3174608044772414E-2</v>
      </c>
      <c r="N23" s="6">
        <v>3.0803440000000002</v>
      </c>
      <c r="O23" s="72">
        <v>1.0579388358620689</v>
      </c>
      <c r="T23" s="59"/>
      <c r="U23" s="59"/>
    </row>
    <row r="24" spans="1:24" s="4" customFormat="1">
      <c r="A24" s="207"/>
      <c r="B24" s="6" t="s">
        <v>395</v>
      </c>
      <c r="C24" s="6" t="s">
        <v>77</v>
      </c>
      <c r="D24" s="38">
        <v>1590</v>
      </c>
      <c r="E24" s="6">
        <v>1.8888</v>
      </c>
      <c r="F24" s="6">
        <v>6</v>
      </c>
      <c r="G24" s="6">
        <v>5.5379999999999995E-3</v>
      </c>
      <c r="H24" s="6">
        <v>3.2827999999999998E-3</v>
      </c>
      <c r="I24" s="6">
        <v>6.2282399999999995E-3</v>
      </c>
      <c r="J24" s="6" t="s">
        <v>53</v>
      </c>
      <c r="K24" s="6">
        <v>1.42862832E-3</v>
      </c>
      <c r="L24" s="6">
        <v>1.647766832E-2</v>
      </c>
      <c r="M24" s="38">
        <f t="shared" si="0"/>
        <v>4.5171539015172414E-3</v>
      </c>
      <c r="N24" s="6">
        <v>0.94440000000000002</v>
      </c>
      <c r="O24" s="72">
        <v>0.25889586206896553</v>
      </c>
      <c r="T24" s="59"/>
      <c r="U24" s="59"/>
    </row>
    <row r="25" spans="1:24" s="4" customFormat="1">
      <c r="A25" s="207"/>
      <c r="B25" s="6" t="s">
        <v>400</v>
      </c>
      <c r="C25" s="6" t="s">
        <v>78</v>
      </c>
      <c r="D25" s="38">
        <v>1530</v>
      </c>
      <c r="E25" s="6">
        <v>0.18376600000000001</v>
      </c>
      <c r="F25" s="6">
        <v>2.2999999999999998</v>
      </c>
      <c r="G25" s="6">
        <v>2.1228999999999996E-3</v>
      </c>
      <c r="H25" s="6">
        <v>1.1077999999999999E-3</v>
      </c>
      <c r="I25" s="6">
        <v>2.1689000000000001E-3</v>
      </c>
      <c r="J25" s="6" t="s">
        <v>79</v>
      </c>
      <c r="K25" s="6">
        <v>1.4040027999999996E-4</v>
      </c>
      <c r="L25" s="6">
        <v>5.5400002799999995E-3</v>
      </c>
      <c r="M25" s="38">
        <f t="shared" si="0"/>
        <v>1.4614138669655169E-3</v>
      </c>
      <c r="N25" s="6">
        <v>9.1883000000000006E-2</v>
      </c>
      <c r="O25" s="72">
        <v>2.4238101724137935E-2</v>
      </c>
      <c r="T25" s="59"/>
      <c r="U25" s="59"/>
    </row>
    <row r="26" spans="1:24" s="4" customFormat="1">
      <c r="A26" s="207"/>
      <c r="B26" s="6" t="s">
        <v>393</v>
      </c>
      <c r="C26" s="6" t="s">
        <v>80</v>
      </c>
      <c r="D26" s="38">
        <v>1270</v>
      </c>
      <c r="E26" s="6">
        <v>0.45960699999999999</v>
      </c>
      <c r="F26" s="6">
        <v>6</v>
      </c>
      <c r="G26" s="6">
        <v>5.5379999999999995E-3</v>
      </c>
      <c r="H26" s="6">
        <v>3.3853999999999998E-3</v>
      </c>
      <c r="I26" s="6">
        <v>5.9852400000000002E-3</v>
      </c>
      <c r="J26" s="6" t="s">
        <v>74</v>
      </c>
      <c r="K26" s="6">
        <v>2.9156308999999997E-4</v>
      </c>
      <c r="L26" s="6">
        <v>1.5200203090000001E-2</v>
      </c>
      <c r="M26" s="38">
        <f t="shared" si="0"/>
        <v>3.3283203317758621E-3</v>
      </c>
      <c r="N26" s="6">
        <v>0.22980349999999999</v>
      </c>
      <c r="O26" s="72">
        <v>5.0319042241379307E-2</v>
      </c>
      <c r="T26" s="59"/>
      <c r="U26" s="59"/>
    </row>
    <row r="27" spans="1:24" s="4" customFormat="1">
      <c r="A27" s="207"/>
      <c r="B27" s="6" t="s">
        <v>399</v>
      </c>
      <c r="C27" s="6" t="s">
        <v>81</v>
      </c>
      <c r="D27" s="38">
        <v>1192</v>
      </c>
      <c r="E27" s="6">
        <v>7.4118750000000002</v>
      </c>
      <c r="F27" s="6">
        <v>36</v>
      </c>
      <c r="G27" s="6">
        <v>3.3228000000000001E-2</v>
      </c>
      <c r="H27" s="6">
        <v>6.3179999999999996E-4</v>
      </c>
      <c r="I27" s="6">
        <v>6.0944400000000004E-3</v>
      </c>
      <c r="J27" s="6" t="s">
        <v>82</v>
      </c>
      <c r="K27" s="6">
        <v>6.5650661999999988E-3</v>
      </c>
      <c r="L27" s="6">
        <v>4.6519306199999999E-2</v>
      </c>
      <c r="M27" s="38">
        <f t="shared" si="0"/>
        <v>9.5605194811034487E-3</v>
      </c>
      <c r="N27" s="6">
        <v>3.7059375000000001</v>
      </c>
      <c r="O27" s="72">
        <v>0.76163405172413789</v>
      </c>
      <c r="T27" s="59"/>
      <c r="U27" s="59"/>
    </row>
    <row r="28" spans="1:24" s="4" customFormat="1">
      <c r="A28" s="207"/>
      <c r="B28" s="6" t="s">
        <v>400</v>
      </c>
      <c r="C28" s="6" t="s">
        <v>83</v>
      </c>
      <c r="D28" s="38">
        <v>1119</v>
      </c>
      <c r="E28" s="6">
        <v>1.8684449999999999</v>
      </c>
      <c r="F28" s="6">
        <v>4.0999999999999996</v>
      </c>
      <c r="G28" s="6">
        <v>3.7842999999999996E-3</v>
      </c>
      <c r="H28" s="6">
        <v>1.1309999999999998E-3</v>
      </c>
      <c r="I28" s="6">
        <v>1.134E-3</v>
      </c>
      <c r="J28" s="6" t="s">
        <v>84</v>
      </c>
      <c r="K28" s="6">
        <v>2.505664E-4</v>
      </c>
      <c r="L28" s="6">
        <v>6.2998663999999987E-3</v>
      </c>
      <c r="M28" s="38">
        <f t="shared" si="0"/>
        <v>1.2154397416551722E-3</v>
      </c>
      <c r="N28" s="6">
        <v>0.93422249999999984</v>
      </c>
      <c r="O28" s="72">
        <v>0.18024051336206895</v>
      </c>
      <c r="T28" s="59"/>
      <c r="U28" s="59"/>
    </row>
    <row r="29" spans="1:24" s="4" customFormat="1">
      <c r="A29" s="207"/>
      <c r="B29" s="6" t="s">
        <v>399</v>
      </c>
      <c r="C29" s="6" t="s">
        <v>85</v>
      </c>
      <c r="D29" s="38">
        <v>1036</v>
      </c>
      <c r="E29" s="6">
        <v>2.812541</v>
      </c>
      <c r="F29" s="6">
        <v>57</v>
      </c>
      <c r="G29" s="6">
        <v>5.2610999999999998E-2</v>
      </c>
      <c r="H29" s="6">
        <v>2.8703999999999995E-3</v>
      </c>
      <c r="I29" s="6">
        <v>1.0426320000000001E-2</v>
      </c>
      <c r="J29" s="6" t="s">
        <v>86</v>
      </c>
      <c r="K29" s="6">
        <v>1.108549512E-2</v>
      </c>
      <c r="L29" s="6">
        <v>7.699321512E-2</v>
      </c>
      <c r="M29" s="38">
        <f t="shared" si="0"/>
        <v>1.375258118350345E-2</v>
      </c>
      <c r="N29" s="6">
        <v>1.4062705</v>
      </c>
      <c r="O29" s="72">
        <v>0.25118900655172416</v>
      </c>
      <c r="T29" s="59"/>
      <c r="U29" s="59"/>
    </row>
    <row r="30" spans="1:24" s="4" customFormat="1">
      <c r="A30" s="207"/>
      <c r="B30" s="6" t="s">
        <v>400</v>
      </c>
      <c r="C30" s="6" t="s">
        <v>87</v>
      </c>
      <c r="D30" s="38">
        <v>943</v>
      </c>
      <c r="E30" s="6">
        <v>0.76048000000000004</v>
      </c>
      <c r="F30" s="6">
        <v>6.5</v>
      </c>
      <c r="G30" s="6">
        <v>5.9994999999999996E-3</v>
      </c>
      <c r="H30" s="6">
        <v>3.784E-3</v>
      </c>
      <c r="I30" s="6">
        <v>6.6381800000000005E-3</v>
      </c>
      <c r="J30" s="6" t="s">
        <v>74</v>
      </c>
      <c r="K30" s="6">
        <v>3.5045738000000004E-4</v>
      </c>
      <c r="L30" s="6">
        <v>1.677213738E-2</v>
      </c>
      <c r="M30" s="38">
        <f t="shared" si="0"/>
        <v>2.7269181981620688E-3</v>
      </c>
      <c r="N30" s="6">
        <v>0.38024000000000002</v>
      </c>
      <c r="O30" s="72">
        <v>6.1821779310344833E-2</v>
      </c>
      <c r="T30" s="59"/>
      <c r="U30" s="59"/>
    </row>
    <row r="31" spans="1:24" s="4" customFormat="1">
      <c r="A31" s="207"/>
      <c r="B31" s="6" t="s">
        <v>399</v>
      </c>
      <c r="C31" s="6" t="s">
        <v>88</v>
      </c>
      <c r="D31" s="38">
        <v>940</v>
      </c>
      <c r="E31" s="6">
        <v>0.49005500000000002</v>
      </c>
      <c r="F31" s="6">
        <v>25</v>
      </c>
      <c r="G31" s="6">
        <v>0.05</v>
      </c>
      <c r="H31" s="6">
        <v>2.1294E-3</v>
      </c>
      <c r="I31" s="6">
        <v>4.9345199999999995E-3</v>
      </c>
      <c r="J31" s="6" t="s">
        <v>89</v>
      </c>
      <c r="K31" s="6">
        <v>4.5364687199999998E-3</v>
      </c>
      <c r="L31" s="6">
        <v>6.1600388720000003E-2</v>
      </c>
      <c r="M31" s="38">
        <f t="shared" si="0"/>
        <v>9.9835112753103462E-3</v>
      </c>
      <c r="N31" s="6">
        <v>0.24502750000000001</v>
      </c>
      <c r="O31" s="72">
        <v>3.9711353448275866E-2</v>
      </c>
      <c r="T31" s="59"/>
      <c r="U31" s="59"/>
    </row>
    <row r="32" spans="1:24" s="4" customFormat="1">
      <c r="A32" s="207"/>
      <c r="B32" s="6" t="s">
        <v>399</v>
      </c>
      <c r="C32" s="6" t="s">
        <v>90</v>
      </c>
      <c r="D32" s="38">
        <v>904</v>
      </c>
      <c r="E32" s="6">
        <v>1.0230840000000001</v>
      </c>
      <c r="F32" s="6">
        <v>23.5</v>
      </c>
      <c r="G32" s="6">
        <v>2.1690500000000001E-2</v>
      </c>
      <c r="H32" s="6">
        <v>7.7999999999999999E-4</v>
      </c>
      <c r="I32" s="6">
        <v>4.1310000000000001E-3</v>
      </c>
      <c r="J32" s="6" t="s">
        <v>91</v>
      </c>
      <c r="K32" s="6">
        <v>4.1254919999999997E-3</v>
      </c>
      <c r="L32" s="6">
        <v>3.0726992000000002E-2</v>
      </c>
      <c r="M32" s="38">
        <f t="shared" si="0"/>
        <v>4.7891725462068969E-3</v>
      </c>
      <c r="N32" s="6">
        <v>0.51154200000000005</v>
      </c>
      <c r="O32" s="72">
        <v>7.9729994482758623E-2</v>
      </c>
      <c r="T32" s="59"/>
      <c r="U32" s="59"/>
    </row>
    <row r="33" spans="1:21" s="4" customFormat="1">
      <c r="A33" s="207"/>
      <c r="B33" s="6" t="s">
        <v>399</v>
      </c>
      <c r="C33" s="6" t="s">
        <v>92</v>
      </c>
      <c r="D33" s="38">
        <v>900</v>
      </c>
      <c r="E33" s="6">
        <v>1.3068759999999999</v>
      </c>
      <c r="F33" s="6">
        <v>25</v>
      </c>
      <c r="G33" s="6">
        <v>2.3074999999999998E-2</v>
      </c>
      <c r="H33" s="6">
        <v>4.4850000000000003E-3</v>
      </c>
      <c r="I33" s="6">
        <v>5.9129999999999999E-3</v>
      </c>
      <c r="J33" s="6" t="s">
        <v>93</v>
      </c>
      <c r="K33" s="6">
        <v>2.3826579499999999E-3</v>
      </c>
      <c r="L33" s="6">
        <v>3.5855657949999994E-2</v>
      </c>
      <c r="M33" s="38">
        <f t="shared" si="0"/>
        <v>5.5638089922413784E-3</v>
      </c>
      <c r="N33" s="6">
        <v>0.65343799999999996</v>
      </c>
      <c r="O33" s="72">
        <v>0.10139555172413793</v>
      </c>
      <c r="T33" s="59"/>
      <c r="U33" s="59"/>
    </row>
    <row r="34" spans="1:21" s="4" customFormat="1">
      <c r="A34" s="207"/>
      <c r="B34" s="6" t="s">
        <v>394</v>
      </c>
      <c r="C34" s="6" t="s">
        <v>94</v>
      </c>
      <c r="D34" s="38">
        <v>898</v>
      </c>
      <c r="E34" s="6">
        <v>0.156032</v>
      </c>
      <c r="F34" s="6">
        <v>4.9000000000000004</v>
      </c>
      <c r="G34" s="6">
        <v>9.8000000000000014E-3</v>
      </c>
      <c r="H34" s="6">
        <v>0</v>
      </c>
      <c r="I34" s="6">
        <v>7.938000000000001E-4</v>
      </c>
      <c r="J34" s="6" t="s">
        <v>95</v>
      </c>
      <c r="K34" s="6">
        <v>1.5464645E-4</v>
      </c>
      <c r="L34" s="6">
        <v>1.0748446450000003E-2</v>
      </c>
      <c r="M34" s="38">
        <f t="shared" si="0"/>
        <v>1.6641560193275866E-3</v>
      </c>
      <c r="N34" s="6">
        <v>7.8016000000000002E-2</v>
      </c>
      <c r="O34" s="72">
        <v>1.2079028965517241E-2</v>
      </c>
      <c r="T34" s="59"/>
      <c r="U34" s="59"/>
    </row>
    <row r="35" spans="1:21" s="4" customFormat="1">
      <c r="A35" s="207"/>
      <c r="B35" s="6" t="s">
        <v>394</v>
      </c>
      <c r="C35" s="6" t="s">
        <v>96</v>
      </c>
      <c r="D35" s="38">
        <v>888</v>
      </c>
      <c r="E35" s="6">
        <v>1.3834470000000001</v>
      </c>
      <c r="F35" s="6">
        <v>4.5</v>
      </c>
      <c r="G35" s="6">
        <v>9.0000000000000011E-3</v>
      </c>
      <c r="H35" s="6">
        <v>5.4599999999999994E-4</v>
      </c>
      <c r="I35" s="6">
        <v>9.5580000000000003E-4</v>
      </c>
      <c r="J35" s="6" t="s">
        <v>93</v>
      </c>
      <c r="K35" s="6">
        <v>3.8514197000000006E-4</v>
      </c>
      <c r="L35" s="6">
        <v>1.0886941970000001E-2</v>
      </c>
      <c r="M35" s="38">
        <f t="shared" si="0"/>
        <v>1.6668283567862069E-3</v>
      </c>
      <c r="N35" s="6">
        <v>0.69172350000000005</v>
      </c>
      <c r="O35" s="72">
        <v>0.10590525310344828</v>
      </c>
      <c r="T35" s="59"/>
      <c r="U35" s="59"/>
    </row>
    <row r="36" spans="1:21" s="4" customFormat="1">
      <c r="A36" s="207"/>
      <c r="B36" s="6" t="s">
        <v>394</v>
      </c>
      <c r="C36" s="6" t="s">
        <v>97</v>
      </c>
      <c r="D36" s="38">
        <v>888</v>
      </c>
      <c r="E36" s="6">
        <v>4.2628750000000002</v>
      </c>
      <c r="F36" s="6">
        <v>12</v>
      </c>
      <c r="G36" s="6">
        <v>1.1075999999999999E-2</v>
      </c>
      <c r="H36" s="6">
        <v>3.1121999999999999E-3</v>
      </c>
      <c r="I36" s="6">
        <v>2.3084999999999998E-3</v>
      </c>
      <c r="J36" s="6" t="s">
        <v>98</v>
      </c>
      <c r="K36" s="6">
        <v>5.4993172499999995E-4</v>
      </c>
      <c r="L36" s="6">
        <v>1.7046631724999997E-2</v>
      </c>
      <c r="M36" s="38">
        <f t="shared" si="0"/>
        <v>2.6098980985862063E-3</v>
      </c>
      <c r="N36" s="6">
        <v>2.1314375000000001</v>
      </c>
      <c r="O36" s="72">
        <v>0.32633043103448278</v>
      </c>
      <c r="T36" s="59"/>
      <c r="U36" s="59"/>
    </row>
    <row r="37" spans="1:21" s="4" customFormat="1">
      <c r="A37" s="207"/>
      <c r="B37" s="6" t="s">
        <v>393</v>
      </c>
      <c r="C37" s="6" t="s">
        <v>99</v>
      </c>
      <c r="D37" s="38">
        <v>846</v>
      </c>
      <c r="E37" s="6">
        <v>0.51245200000000002</v>
      </c>
      <c r="F37" s="6">
        <v>1.625</v>
      </c>
      <c r="G37" s="6">
        <v>1.4998749999999999E-3</v>
      </c>
      <c r="H37" s="6">
        <v>2.4711999999999998E-3</v>
      </c>
      <c r="I37" s="6">
        <v>2.066975E-3</v>
      </c>
      <c r="J37" s="6" t="s">
        <v>100</v>
      </c>
      <c r="K37" s="6">
        <v>2.8568644499999996E-4</v>
      </c>
      <c r="L37" s="6">
        <v>6.3237364449999995E-3</v>
      </c>
      <c r="M37" s="38">
        <f t="shared" si="0"/>
        <v>9.2239328146034481E-4</v>
      </c>
      <c r="N37" s="6">
        <v>0.25622600000000001</v>
      </c>
      <c r="O37" s="72">
        <v>3.7373654482758624E-2</v>
      </c>
      <c r="T37" s="59"/>
      <c r="U37" s="59"/>
    </row>
    <row r="38" spans="1:21" s="4" customFormat="1">
      <c r="A38" s="207"/>
      <c r="B38" s="6" t="s">
        <v>400</v>
      </c>
      <c r="C38" s="6" t="s">
        <v>101</v>
      </c>
      <c r="D38" s="38">
        <v>733</v>
      </c>
      <c r="E38" s="6">
        <v>3.0358239999999999</v>
      </c>
      <c r="F38" s="6">
        <v>3.75</v>
      </c>
      <c r="G38" s="6">
        <v>3.4612499999999999E-3</v>
      </c>
      <c r="H38" s="6">
        <v>2.166333333333333E-3</v>
      </c>
      <c r="I38" s="6">
        <v>3.8278500000000003E-3</v>
      </c>
      <c r="J38" s="6" t="s">
        <v>102</v>
      </c>
      <c r="K38" s="6">
        <v>2.3990374499999997E-4</v>
      </c>
      <c r="L38" s="6">
        <v>9.6953370783333347E-3</v>
      </c>
      <c r="M38" s="38">
        <f t="shared" si="0"/>
        <v>1.2252900135204024E-3</v>
      </c>
      <c r="N38" s="6">
        <v>1.5179119999999999</v>
      </c>
      <c r="O38" s="72">
        <v>0.19183267172413793</v>
      </c>
      <c r="T38" s="59"/>
      <c r="U38" s="59"/>
    </row>
    <row r="39" spans="1:21" s="4" customFormat="1">
      <c r="A39" s="207"/>
      <c r="B39" s="6" t="s">
        <v>399</v>
      </c>
      <c r="C39" s="6" t="s">
        <v>103</v>
      </c>
      <c r="D39" s="38">
        <v>410</v>
      </c>
      <c r="E39" s="6">
        <v>0.48765999999999998</v>
      </c>
      <c r="F39" s="6">
        <v>22.5</v>
      </c>
      <c r="G39" s="6">
        <v>2.0767500000000001E-2</v>
      </c>
      <c r="H39" s="6">
        <v>6.4740000000000002E-4</v>
      </c>
      <c r="I39" s="6">
        <v>3.9139200000000004E-3</v>
      </c>
      <c r="J39" s="6" t="s">
        <v>104</v>
      </c>
      <c r="K39" s="6">
        <v>5.9056703999999993E-3</v>
      </c>
      <c r="L39" s="6">
        <v>3.1234490400000002E-2</v>
      </c>
      <c r="M39" s="38">
        <f t="shared" si="0"/>
        <v>2.2079553558620691E-3</v>
      </c>
      <c r="N39" s="6">
        <v>0.24382999999999999</v>
      </c>
      <c r="O39" s="72">
        <v>1.7236258620689653E-2</v>
      </c>
      <c r="T39" s="59"/>
      <c r="U39" s="59"/>
    </row>
    <row r="40" spans="1:21" s="4" customFormat="1">
      <c r="A40" s="207"/>
      <c r="B40" s="6" t="s">
        <v>394</v>
      </c>
      <c r="C40" s="6" t="s">
        <v>105</v>
      </c>
      <c r="D40" s="38">
        <v>5295</v>
      </c>
      <c r="E40" s="6">
        <v>0.43640800000000002</v>
      </c>
      <c r="F40" s="6">
        <v>8.3000000000000007</v>
      </c>
      <c r="G40" s="6">
        <v>6.6814999999999999E-2</v>
      </c>
      <c r="H40" s="6">
        <v>1.0164319999999999E-2</v>
      </c>
      <c r="I40" s="6">
        <v>2.5360560000000001E-3</v>
      </c>
      <c r="J40" s="6" t="s">
        <v>140</v>
      </c>
      <c r="K40" s="6">
        <v>1.290007152E-3</v>
      </c>
      <c r="L40" s="6">
        <v>8.0805383152000004E-2</v>
      </c>
      <c r="M40" s="38">
        <f t="shared" si="0"/>
        <v>7.3769742032731039E-2</v>
      </c>
      <c r="N40" s="6">
        <v>0.21820400000000001</v>
      </c>
      <c r="O40" s="72">
        <v>0.19920520344827589</v>
      </c>
    </row>
    <row r="41" spans="1:21" s="4" customFormat="1">
      <c r="A41" s="207"/>
      <c r="B41" s="6" t="s">
        <v>394</v>
      </c>
      <c r="C41" s="6" t="s">
        <v>106</v>
      </c>
      <c r="D41" s="38">
        <v>4690</v>
      </c>
      <c r="E41" s="6">
        <v>0.43440699999999999</v>
      </c>
      <c r="F41" s="6">
        <v>9.1</v>
      </c>
      <c r="G41" s="6">
        <v>7.3255000000000001E-2</v>
      </c>
      <c r="H41" s="6">
        <v>1.0604400000000002E-2</v>
      </c>
      <c r="I41" s="6">
        <v>2.78532E-3</v>
      </c>
      <c r="J41" s="6" t="s">
        <v>140</v>
      </c>
      <c r="K41" s="6">
        <v>1.4167994399999998E-3</v>
      </c>
      <c r="L41" s="6">
        <v>8.806151944E-2</v>
      </c>
      <c r="M41" s="38">
        <f t="shared" si="0"/>
        <v>7.1208366581655164E-2</v>
      </c>
      <c r="N41" s="6">
        <v>0.21720349999999999</v>
      </c>
      <c r="O41" s="72">
        <v>0.17563524396551722</v>
      </c>
    </row>
    <row r="42" spans="1:21" s="4" customFormat="1">
      <c r="A42" s="207"/>
      <c r="B42" s="6" t="s">
        <v>394</v>
      </c>
      <c r="C42" s="6" t="s">
        <v>107</v>
      </c>
      <c r="D42" s="38">
        <v>4465</v>
      </c>
      <c r="E42" s="6">
        <v>0.43561499999999997</v>
      </c>
      <c r="F42" s="6">
        <v>8.3000000000000007</v>
      </c>
      <c r="G42" s="6">
        <v>6.6814999999999999E-2</v>
      </c>
      <c r="H42" s="6">
        <v>1.0164319999999999E-2</v>
      </c>
      <c r="I42" s="6">
        <v>2.5360560000000001E-3</v>
      </c>
      <c r="J42" s="6" t="s">
        <v>140</v>
      </c>
      <c r="K42" s="6">
        <v>1.290007152E-3</v>
      </c>
      <c r="L42" s="6">
        <v>8.0805383152000004E-2</v>
      </c>
      <c r="M42" s="38">
        <f t="shared" si="0"/>
        <v>6.2206213064427592E-2</v>
      </c>
      <c r="N42" s="6">
        <v>0.21780749999999999</v>
      </c>
      <c r="O42" s="72">
        <v>0.16767422198275861</v>
      </c>
    </row>
    <row r="43" spans="1:21" s="4" customFormat="1">
      <c r="A43" s="207"/>
      <c r="B43" s="6" t="s">
        <v>394</v>
      </c>
      <c r="C43" s="6" t="s">
        <v>108</v>
      </c>
      <c r="D43" s="38">
        <v>3630</v>
      </c>
      <c r="E43" s="6">
        <v>0.58541200000000004</v>
      </c>
      <c r="F43" s="6">
        <v>12.2</v>
      </c>
      <c r="G43" s="6">
        <v>9.8209999999999992E-2</v>
      </c>
      <c r="H43" s="6">
        <v>1.49058E-2</v>
      </c>
      <c r="I43" s="6">
        <v>4.0640399999999997E-3</v>
      </c>
      <c r="J43" s="6" t="s">
        <v>140</v>
      </c>
      <c r="K43" s="6">
        <v>2.0672416799999999E-3</v>
      </c>
      <c r="L43" s="6">
        <v>0.11924708167999999</v>
      </c>
      <c r="M43" s="38">
        <f t="shared" si="0"/>
        <v>7.4632225258344814E-2</v>
      </c>
      <c r="N43" s="6">
        <v>0.29270600000000002</v>
      </c>
      <c r="O43" s="72">
        <v>0.18319358275862069</v>
      </c>
    </row>
    <row r="44" spans="1:21" s="4" customFormat="1">
      <c r="A44" s="207"/>
      <c r="B44" s="6" t="s">
        <v>401</v>
      </c>
      <c r="C44" s="6" t="s">
        <v>109</v>
      </c>
      <c r="D44" s="38">
        <v>3128</v>
      </c>
      <c r="E44" s="6">
        <v>0.75959299999999996</v>
      </c>
      <c r="F44" s="6">
        <v>30</v>
      </c>
      <c r="G44" s="6">
        <v>5.7300000000000004E-2</v>
      </c>
      <c r="H44" s="6">
        <v>1.1326250000000001E-2</v>
      </c>
      <c r="I44" s="6">
        <v>9.5647500000000003E-3</v>
      </c>
      <c r="J44" s="6" t="s">
        <v>139</v>
      </c>
      <c r="K44" s="6">
        <v>0</v>
      </c>
      <c r="L44" s="6">
        <v>7.819100000000001E-2</v>
      </c>
      <c r="M44" s="38">
        <f t="shared" si="0"/>
        <v>4.2169215172413795E-2</v>
      </c>
      <c r="N44" s="6">
        <v>0.37979649999999998</v>
      </c>
      <c r="O44" s="72">
        <v>0.20482818137931033</v>
      </c>
    </row>
    <row r="45" spans="1:21" s="4" customFormat="1">
      <c r="A45" s="207"/>
      <c r="B45" s="6" t="s">
        <v>394</v>
      </c>
      <c r="C45" s="6" t="s">
        <v>110</v>
      </c>
      <c r="D45" s="38">
        <v>3040</v>
      </c>
      <c r="E45" s="6">
        <v>0.73519900000000005</v>
      </c>
      <c r="F45" s="6">
        <v>19.399999999999999</v>
      </c>
      <c r="G45" s="6">
        <v>0.15616999999999998</v>
      </c>
      <c r="H45" s="6">
        <v>3.6984500000000003E-2</v>
      </c>
      <c r="I45" s="6">
        <v>1.16235E-2</v>
      </c>
      <c r="J45" s="6" t="s">
        <v>140</v>
      </c>
      <c r="K45" s="6">
        <v>5.9124869999999993E-3</v>
      </c>
      <c r="L45" s="6">
        <v>0.21069048699999998</v>
      </c>
      <c r="M45" s="38">
        <f t="shared" si="0"/>
        <v>0.11043087594482758</v>
      </c>
      <c r="N45" s="6">
        <v>0.36759950000000002</v>
      </c>
      <c r="O45" s="72">
        <v>0.19267284137931037</v>
      </c>
    </row>
    <row r="46" spans="1:21" s="4" customFormat="1">
      <c r="A46" s="207"/>
      <c r="B46" s="6" t="s">
        <v>394</v>
      </c>
      <c r="C46" s="6" t="s">
        <v>111</v>
      </c>
      <c r="D46" s="38">
        <v>2050</v>
      </c>
      <c r="E46" s="6">
        <v>0.44585799999999998</v>
      </c>
      <c r="F46" s="6">
        <v>9.1</v>
      </c>
      <c r="G46" s="6">
        <v>7.3255000000000001E-2</v>
      </c>
      <c r="H46" s="6">
        <v>1.0604400000000002E-2</v>
      </c>
      <c r="I46" s="6">
        <v>2.78532E-3</v>
      </c>
      <c r="J46" s="6" t="s">
        <v>140</v>
      </c>
      <c r="K46" s="6">
        <v>1.4167994399999998E-3</v>
      </c>
      <c r="L46" s="6">
        <v>8.806151944E-2</v>
      </c>
      <c r="M46" s="38">
        <f t="shared" si="0"/>
        <v>3.1125192215862071E-2</v>
      </c>
      <c r="N46" s="6">
        <v>0.22292899999999999</v>
      </c>
      <c r="O46" s="72">
        <v>7.8793870689655168E-2</v>
      </c>
    </row>
    <row r="47" spans="1:21" s="4" customFormat="1">
      <c r="A47" s="207"/>
      <c r="B47" s="6" t="s">
        <v>401</v>
      </c>
      <c r="C47" s="6" t="s">
        <v>112</v>
      </c>
      <c r="D47" s="38">
        <v>2050</v>
      </c>
      <c r="E47" s="6">
        <v>0.79515199999999997</v>
      </c>
      <c r="F47" s="6">
        <v>30</v>
      </c>
      <c r="G47" s="6">
        <v>5.7300000000000004E-2</v>
      </c>
      <c r="H47" s="6">
        <v>1.03675E-2</v>
      </c>
      <c r="I47" s="6">
        <v>9.166500000000001E-3</v>
      </c>
      <c r="J47" s="6" t="s">
        <v>139</v>
      </c>
      <c r="K47" s="6">
        <v>0</v>
      </c>
      <c r="L47" s="6">
        <v>7.6834000000000013E-2</v>
      </c>
      <c r="M47" s="38">
        <f t="shared" si="0"/>
        <v>2.7156844827586214E-2</v>
      </c>
      <c r="N47" s="6">
        <v>0.39757599999999998</v>
      </c>
      <c r="O47" s="72">
        <v>0.14052255172413794</v>
      </c>
    </row>
    <row r="48" spans="1:21" s="4" customFormat="1">
      <c r="A48" s="207"/>
      <c r="B48" s="6" t="s">
        <v>394</v>
      </c>
      <c r="C48" s="6" t="s">
        <v>113</v>
      </c>
      <c r="D48" s="38">
        <v>1920</v>
      </c>
      <c r="E48" s="6">
        <v>0.65839999999999999</v>
      </c>
      <c r="F48" s="6">
        <v>16.399999999999999</v>
      </c>
      <c r="G48" s="6">
        <v>0.13202</v>
      </c>
      <c r="H48" s="6">
        <v>2.498825E-2</v>
      </c>
      <c r="I48" s="6">
        <v>7.4803500000000002E-3</v>
      </c>
      <c r="J48" s="6" t="s">
        <v>140</v>
      </c>
      <c r="K48" s="6">
        <v>3.8050046999999997E-3</v>
      </c>
      <c r="L48" s="6">
        <v>0.16829360469999999</v>
      </c>
      <c r="M48" s="38">
        <f t="shared" si="0"/>
        <v>5.571098638344827E-2</v>
      </c>
      <c r="N48" s="6">
        <v>0.32919999999999999</v>
      </c>
      <c r="O48" s="72">
        <v>0.10897655172413792</v>
      </c>
    </row>
    <row r="49" spans="1:15" s="4" customFormat="1">
      <c r="A49" s="207"/>
      <c r="B49" s="6" t="s">
        <v>394</v>
      </c>
      <c r="C49" s="6" t="s">
        <v>114</v>
      </c>
      <c r="D49" s="38">
        <v>1542</v>
      </c>
      <c r="E49" s="6">
        <v>0.65776599999999996</v>
      </c>
      <c r="F49" s="6">
        <v>16.399999999999999</v>
      </c>
      <c r="G49" s="6">
        <v>0.13202</v>
      </c>
      <c r="H49" s="6">
        <v>2.498825E-2</v>
      </c>
      <c r="I49" s="6">
        <v>7.4803500000000002E-3</v>
      </c>
      <c r="J49" s="6" t="s">
        <v>140</v>
      </c>
      <c r="K49" s="6">
        <v>3.8050046999999997E-3</v>
      </c>
      <c r="L49" s="6">
        <v>0.16829360469999999</v>
      </c>
      <c r="M49" s="38">
        <f t="shared" si="0"/>
        <v>4.4742885939206896E-2</v>
      </c>
      <c r="N49" s="6">
        <v>0.32888299999999998</v>
      </c>
      <c r="O49" s="72">
        <v>8.7437514827586202E-2</v>
      </c>
    </row>
    <row r="50" spans="1:15" s="4" customFormat="1">
      <c r="A50" s="207"/>
      <c r="B50" s="6" t="s">
        <v>394</v>
      </c>
      <c r="C50" s="6" t="s">
        <v>115</v>
      </c>
      <c r="D50" s="38">
        <v>1480</v>
      </c>
      <c r="E50" s="6">
        <v>0.81527000000000005</v>
      </c>
      <c r="F50" s="6">
        <v>36.299999999999997</v>
      </c>
      <c r="G50" s="6">
        <v>6.9332999999999992E-2</v>
      </c>
      <c r="H50" s="6">
        <v>7.0550999999999999E-3</v>
      </c>
      <c r="I50" s="6">
        <v>8.8111800000000001E-3</v>
      </c>
      <c r="J50" s="6" t="s">
        <v>116</v>
      </c>
      <c r="K50" s="6">
        <v>7.5041882999999998E-3</v>
      </c>
      <c r="L50" s="6">
        <v>9.2703468299999994E-2</v>
      </c>
      <c r="M50" s="38">
        <f t="shared" si="0"/>
        <v>2.3655367773103446E-2</v>
      </c>
      <c r="N50" s="6">
        <v>0.40763500000000003</v>
      </c>
      <c r="O50" s="72">
        <v>0.10401720689655172</v>
      </c>
    </row>
    <row r="51" spans="1:15" s="4" customFormat="1">
      <c r="A51" s="207"/>
      <c r="B51" s="6" t="s">
        <v>394</v>
      </c>
      <c r="C51" s="6" t="s">
        <v>117</v>
      </c>
      <c r="D51" s="38">
        <v>1050</v>
      </c>
      <c r="E51" s="6">
        <v>0.58125899999999997</v>
      </c>
      <c r="F51" s="6">
        <v>12.2</v>
      </c>
      <c r="G51" s="6">
        <v>9.8209999999999992E-2</v>
      </c>
      <c r="H51" s="6">
        <v>1.49058E-2</v>
      </c>
      <c r="I51" s="6">
        <v>4.0640399999999997E-3</v>
      </c>
      <c r="J51" s="6" t="s">
        <v>140</v>
      </c>
      <c r="K51" s="6">
        <v>2.0672416799999999E-3</v>
      </c>
      <c r="L51" s="6">
        <v>0.11924708167999999</v>
      </c>
      <c r="M51" s="38">
        <f t="shared" si="0"/>
        <v>2.1587833752413792E-2</v>
      </c>
      <c r="N51" s="6">
        <v>0.29062949999999999</v>
      </c>
      <c r="O51" s="72">
        <v>5.2613961206896556E-2</v>
      </c>
    </row>
    <row r="52" spans="1:15" s="4" customFormat="1">
      <c r="A52" s="207"/>
      <c r="B52" s="6" t="s">
        <v>394</v>
      </c>
      <c r="C52" s="6" t="s">
        <v>118</v>
      </c>
      <c r="D52" s="38">
        <v>500</v>
      </c>
      <c r="E52" s="6">
        <v>0.74704599999999999</v>
      </c>
      <c r="F52" s="6">
        <v>19.399999999999999</v>
      </c>
      <c r="G52" s="6">
        <v>0.15616999999999998</v>
      </c>
      <c r="H52" s="6">
        <v>3.6984500000000003E-2</v>
      </c>
      <c r="I52" s="6">
        <v>1.16235E-2</v>
      </c>
      <c r="J52" s="6" t="s">
        <v>140</v>
      </c>
      <c r="K52" s="6">
        <v>5.9124869999999993E-3</v>
      </c>
      <c r="L52" s="6">
        <v>0.21069048699999998</v>
      </c>
      <c r="M52" s="38">
        <f t="shared" si="0"/>
        <v>1.8162973017241377E-2</v>
      </c>
      <c r="N52" s="6">
        <v>0.37352299999999999</v>
      </c>
      <c r="O52" s="72">
        <v>3.2200258620689655E-2</v>
      </c>
    </row>
    <row r="53" spans="1:15" s="4" customFormat="1">
      <c r="A53" s="207"/>
      <c r="B53" s="6" t="s">
        <v>401</v>
      </c>
      <c r="C53" s="6" t="s">
        <v>119</v>
      </c>
      <c r="D53" s="38">
        <v>468</v>
      </c>
      <c r="E53" s="6">
        <v>0.84393300000000004</v>
      </c>
      <c r="F53" s="6">
        <v>30</v>
      </c>
      <c r="G53" s="6">
        <v>5.7300000000000004E-2</v>
      </c>
      <c r="H53" s="6">
        <v>1.1326250000000001E-2</v>
      </c>
      <c r="I53" s="6">
        <v>9.5647500000000003E-3</v>
      </c>
      <c r="J53" s="6" t="s">
        <v>139</v>
      </c>
      <c r="K53" s="6">
        <v>0</v>
      </c>
      <c r="L53" s="6">
        <v>7.819100000000001E-2</v>
      </c>
      <c r="M53" s="38">
        <f t="shared" si="0"/>
        <v>6.3092048275862076E-3</v>
      </c>
      <c r="N53" s="6">
        <v>0.42196650000000002</v>
      </c>
      <c r="O53" s="72">
        <v>3.4048331379310348E-2</v>
      </c>
    </row>
    <row r="54" spans="1:15" s="4" customFormat="1">
      <c r="A54" s="207"/>
      <c r="B54" s="6" t="s">
        <v>394</v>
      </c>
      <c r="C54" s="6" t="s">
        <v>120</v>
      </c>
      <c r="D54" s="38">
        <v>370</v>
      </c>
      <c r="E54" s="6">
        <v>0.99340200000000001</v>
      </c>
      <c r="F54" s="6">
        <v>48</v>
      </c>
      <c r="G54" s="6">
        <v>9.1679999999999998E-2</v>
      </c>
      <c r="H54" s="6">
        <v>9.866999999999999E-3</v>
      </c>
      <c r="I54" s="6">
        <v>1.1874599999999999E-2</v>
      </c>
      <c r="J54" s="6" t="s">
        <v>121</v>
      </c>
      <c r="K54" s="6">
        <v>1.0501104599999998E-2</v>
      </c>
      <c r="L54" s="6">
        <v>0.12392270459999999</v>
      </c>
      <c r="M54" s="38">
        <f t="shared" si="0"/>
        <v>7.9054139141379303E-3</v>
      </c>
      <c r="N54" s="6">
        <v>0.496701</v>
      </c>
      <c r="O54" s="72">
        <v>3.1686098275862072E-2</v>
      </c>
    </row>
    <row r="55" spans="1:15" s="4" customFormat="1">
      <c r="A55" s="207"/>
      <c r="B55" s="6" t="s">
        <v>401</v>
      </c>
      <c r="C55" s="6" t="s">
        <v>122</v>
      </c>
      <c r="D55" s="38">
        <v>345</v>
      </c>
      <c r="E55" s="6">
        <v>23.483101999999999</v>
      </c>
      <c r="F55" s="6">
        <v>43.3</v>
      </c>
      <c r="G55" s="6">
        <v>0.34856499999999996</v>
      </c>
      <c r="H55" s="6">
        <v>5.0930749999999997E-2</v>
      </c>
      <c r="I55" s="6">
        <v>2.488725E-2</v>
      </c>
      <c r="J55" s="6" t="s">
        <v>140</v>
      </c>
      <c r="K55" s="6">
        <v>1.2659314499999998E-2</v>
      </c>
      <c r="L55" s="6">
        <v>0.43704231449999997</v>
      </c>
      <c r="M55" s="38">
        <f t="shared" si="0"/>
        <v>2.5996482500431035E-2</v>
      </c>
      <c r="N55" s="6">
        <v>11.741550999999999</v>
      </c>
      <c r="O55" s="72">
        <v>0.69841984396551726</v>
      </c>
    </row>
    <row r="56" spans="1:15" s="4" customFormat="1">
      <c r="A56" s="207"/>
      <c r="B56" s="6" t="s">
        <v>401</v>
      </c>
      <c r="C56" s="6" t="s">
        <v>123</v>
      </c>
      <c r="D56" s="38">
        <v>333</v>
      </c>
      <c r="E56" s="6">
        <v>0.84396300000000002</v>
      </c>
      <c r="F56" s="6">
        <v>30</v>
      </c>
      <c r="G56" s="6">
        <v>5.7300000000000004E-2</v>
      </c>
      <c r="H56" s="6">
        <v>1.1326250000000001E-2</v>
      </c>
      <c r="I56" s="6">
        <v>9.5647500000000003E-3</v>
      </c>
      <c r="J56" s="6" t="s">
        <v>139</v>
      </c>
      <c r="K56" s="6">
        <v>0</v>
      </c>
      <c r="L56" s="6">
        <v>7.819100000000001E-2</v>
      </c>
      <c r="M56" s="38">
        <f t="shared" si="0"/>
        <v>4.4892418965517249E-3</v>
      </c>
      <c r="N56" s="6">
        <v>0.42198149999999995</v>
      </c>
      <c r="O56" s="72">
        <v>2.4227558534482756E-2</v>
      </c>
    </row>
    <row r="57" spans="1:15" s="4" customFormat="1">
      <c r="A57" s="207"/>
      <c r="B57" s="6" t="s">
        <v>401</v>
      </c>
      <c r="C57" s="6" t="s">
        <v>124</v>
      </c>
      <c r="D57" s="38">
        <v>293</v>
      </c>
      <c r="E57" s="6">
        <v>16.335944999999999</v>
      </c>
      <c r="F57" s="6">
        <v>43.3</v>
      </c>
      <c r="G57" s="6">
        <v>0.34856499999999996</v>
      </c>
      <c r="H57" s="6">
        <v>3.4957000000000002E-2</v>
      </c>
      <c r="I57" s="6">
        <v>1.8252000000000001E-2</v>
      </c>
      <c r="J57" s="6" t="s">
        <v>140</v>
      </c>
      <c r="K57" s="6">
        <v>9.2841839999999991E-3</v>
      </c>
      <c r="L57" s="6">
        <v>0.41105818399999994</v>
      </c>
      <c r="M57" s="38">
        <f t="shared" si="0"/>
        <v>2.0765525502068963E-2</v>
      </c>
      <c r="N57" s="6">
        <v>8.1679724999999994</v>
      </c>
      <c r="O57" s="72">
        <v>0.41262343836206894</v>
      </c>
    </row>
    <row r="58" spans="1:15" s="4" customFormat="1">
      <c r="A58" s="207"/>
      <c r="B58" s="6" t="s">
        <v>401</v>
      </c>
      <c r="C58" s="6" t="s">
        <v>125</v>
      </c>
      <c r="D58" s="38">
        <v>196</v>
      </c>
      <c r="E58" s="6">
        <v>12.76277</v>
      </c>
      <c r="F58" s="6">
        <v>43.3</v>
      </c>
      <c r="G58" s="6">
        <v>0.34856499999999996</v>
      </c>
      <c r="H58" s="6">
        <v>3.4859500000000002E-2</v>
      </c>
      <c r="I58" s="6">
        <v>1.8211500000000002E-2</v>
      </c>
      <c r="J58" s="6" t="s">
        <v>140</v>
      </c>
      <c r="K58" s="6">
        <v>9.2635829999999988E-3</v>
      </c>
      <c r="L58" s="6">
        <v>0.41089958299999996</v>
      </c>
      <c r="M58" s="38">
        <f t="shared" si="0"/>
        <v>1.3885572115172412E-2</v>
      </c>
      <c r="N58" s="6">
        <v>6.3813849999999999</v>
      </c>
      <c r="O58" s="72">
        <v>0.21564680344827586</v>
      </c>
    </row>
    <row r="59" spans="1:15" s="4" customFormat="1">
      <c r="A59" s="207"/>
      <c r="B59" s="6" t="s">
        <v>401</v>
      </c>
      <c r="C59" s="6" t="s">
        <v>126</v>
      </c>
      <c r="D59" s="38">
        <v>156</v>
      </c>
      <c r="E59" s="6">
        <v>0.80179999999999996</v>
      </c>
      <c r="F59" s="6">
        <v>30</v>
      </c>
      <c r="G59" s="6">
        <v>5.7300000000000004E-2</v>
      </c>
      <c r="H59" s="6">
        <v>1.03675E-2</v>
      </c>
      <c r="I59" s="6">
        <v>9.166500000000001E-3</v>
      </c>
      <c r="J59" s="6" t="s">
        <v>139</v>
      </c>
      <c r="K59" s="6">
        <v>0</v>
      </c>
      <c r="L59" s="6">
        <v>7.6834000000000013E-2</v>
      </c>
      <c r="M59" s="38">
        <f t="shared" si="0"/>
        <v>2.0665696551724145E-3</v>
      </c>
      <c r="N59" s="6">
        <v>0.40089999999999998</v>
      </c>
      <c r="O59" s="72">
        <v>1.0782827586206896E-2</v>
      </c>
    </row>
    <row r="60" spans="1:15" s="4" customFormat="1">
      <c r="A60" s="207"/>
      <c r="B60" s="6" t="s">
        <v>394</v>
      </c>
      <c r="C60" s="6" t="s">
        <v>127</v>
      </c>
      <c r="D60" s="38">
        <v>127</v>
      </c>
      <c r="E60" s="6">
        <v>0.79397399999999996</v>
      </c>
      <c r="F60" s="6">
        <v>36.299999999999997</v>
      </c>
      <c r="G60" s="6">
        <v>6.9332999999999992E-2</v>
      </c>
      <c r="H60" s="6">
        <v>7.0550999999999999E-3</v>
      </c>
      <c r="I60" s="6">
        <v>8.8111800000000001E-3</v>
      </c>
      <c r="J60" s="6" t="s">
        <v>116</v>
      </c>
      <c r="K60" s="6">
        <v>7.5041882999999998E-3</v>
      </c>
      <c r="L60" s="6">
        <v>9.2703468299999994E-2</v>
      </c>
      <c r="M60" s="38">
        <f t="shared" si="0"/>
        <v>2.0298862886379311E-3</v>
      </c>
      <c r="N60" s="6">
        <v>0.39698699999999998</v>
      </c>
      <c r="O60" s="72">
        <v>8.6926463793103436E-3</v>
      </c>
    </row>
    <row r="61" spans="1:15" s="4" customFormat="1">
      <c r="A61" s="207"/>
      <c r="B61" s="6" t="s">
        <v>401</v>
      </c>
      <c r="C61" s="6" t="s">
        <v>128</v>
      </c>
      <c r="D61" s="38">
        <v>120</v>
      </c>
      <c r="E61" s="6">
        <v>16.336071</v>
      </c>
      <c r="F61" s="6">
        <v>43.3</v>
      </c>
      <c r="G61" s="6">
        <v>0.34856499999999996</v>
      </c>
      <c r="H61" s="6">
        <v>3.4957000000000002E-2</v>
      </c>
      <c r="I61" s="6">
        <v>1.8252000000000001E-2</v>
      </c>
      <c r="J61" s="6" t="s">
        <v>140</v>
      </c>
      <c r="K61" s="6">
        <v>9.2841839999999991E-3</v>
      </c>
      <c r="L61" s="6">
        <v>0.41105818399999994</v>
      </c>
      <c r="M61" s="38">
        <f t="shared" si="0"/>
        <v>8.5046520827586191E-3</v>
      </c>
      <c r="N61" s="6">
        <v>8.1680355000000002</v>
      </c>
      <c r="O61" s="72">
        <v>0.16899383793103448</v>
      </c>
    </row>
    <row r="62" spans="1:15" s="4" customFormat="1">
      <c r="A62" s="207"/>
      <c r="B62" s="6" t="s">
        <v>401</v>
      </c>
      <c r="C62" s="6" t="s">
        <v>129</v>
      </c>
      <c r="D62" s="38">
        <v>116</v>
      </c>
      <c r="E62" s="6">
        <v>6.9260510000000002</v>
      </c>
      <c r="F62" s="6">
        <v>30</v>
      </c>
      <c r="G62" s="6">
        <v>5.7300000000000004E-2</v>
      </c>
      <c r="H62" s="6">
        <v>1.03675E-2</v>
      </c>
      <c r="I62" s="6">
        <v>9.166500000000001E-3</v>
      </c>
      <c r="J62" s="6" t="s">
        <v>139</v>
      </c>
      <c r="K62" s="6">
        <v>0</v>
      </c>
      <c r="L62" s="6">
        <v>7.6834000000000013E-2</v>
      </c>
      <c r="M62" s="38">
        <f t="shared" si="0"/>
        <v>1.5366800000000003E-3</v>
      </c>
      <c r="N62" s="6">
        <v>3.4630255000000001</v>
      </c>
      <c r="O62" s="72">
        <v>6.9260509999999997E-2</v>
      </c>
    </row>
    <row r="63" spans="1:15" s="4" customFormat="1">
      <c r="A63" s="207"/>
      <c r="B63" s="6" t="s">
        <v>401</v>
      </c>
      <c r="C63" s="6" t="s">
        <v>130</v>
      </c>
      <c r="D63" s="38">
        <v>83</v>
      </c>
      <c r="E63" s="6">
        <v>23.483153000000001</v>
      </c>
      <c r="F63" s="6">
        <v>43.3</v>
      </c>
      <c r="G63" s="6">
        <v>0.34856499999999996</v>
      </c>
      <c r="H63" s="6">
        <v>5.0930749999999997E-2</v>
      </c>
      <c r="I63" s="6">
        <v>2.488725E-2</v>
      </c>
      <c r="J63" s="6" t="s">
        <v>140</v>
      </c>
      <c r="K63" s="6">
        <v>1.2659314499999998E-2</v>
      </c>
      <c r="L63" s="6">
        <v>0.43704231449999997</v>
      </c>
      <c r="M63" s="38">
        <f t="shared" si="0"/>
        <v>6.2542262247413799E-3</v>
      </c>
      <c r="N63" s="6">
        <v>11.741576500000001</v>
      </c>
      <c r="O63" s="72">
        <v>0.16802600853448277</v>
      </c>
    </row>
    <row r="64" spans="1:15" s="4" customFormat="1">
      <c r="A64" s="207"/>
      <c r="B64" s="6" t="s">
        <v>401</v>
      </c>
      <c r="C64" s="6" t="s">
        <v>131</v>
      </c>
      <c r="D64" s="38">
        <v>30</v>
      </c>
      <c r="E64" s="6">
        <v>4.4120999999999997</v>
      </c>
      <c r="F64" s="6">
        <v>30</v>
      </c>
      <c r="G64" s="6">
        <v>5.7300000000000004E-2</v>
      </c>
      <c r="H64" s="6">
        <v>1.03675E-2</v>
      </c>
      <c r="I64" s="6">
        <v>9.166500000000001E-3</v>
      </c>
      <c r="J64" s="6" t="s">
        <v>139</v>
      </c>
      <c r="K64" s="6">
        <v>0</v>
      </c>
      <c r="L64" s="6">
        <v>7.6834000000000013E-2</v>
      </c>
      <c r="M64" s="38">
        <f t="shared" si="0"/>
        <v>3.9741724137931037E-4</v>
      </c>
      <c r="N64" s="6">
        <v>2.2060499999999998</v>
      </c>
      <c r="O64" s="72">
        <v>1.1410603448275863E-2</v>
      </c>
    </row>
    <row r="65" spans="1:15" s="4" customFormat="1" ht="16.5" thickBot="1">
      <c r="A65" s="208"/>
      <c r="B65" s="14" t="s">
        <v>394</v>
      </c>
      <c r="C65" s="14" t="s">
        <v>132</v>
      </c>
      <c r="D65" s="62">
        <v>15</v>
      </c>
      <c r="E65" s="14">
        <v>1.4653</v>
      </c>
      <c r="F65" s="14">
        <v>224.5</v>
      </c>
      <c r="G65" s="14">
        <v>0.54553499999999999</v>
      </c>
      <c r="H65" s="14">
        <v>0</v>
      </c>
      <c r="I65" s="14">
        <v>3.6368999999999999E-2</v>
      </c>
      <c r="J65" s="14" t="s">
        <v>133</v>
      </c>
      <c r="K65" s="14">
        <v>7.0135820499999998E-3</v>
      </c>
      <c r="L65" s="14">
        <v>0.58891758205</v>
      </c>
      <c r="M65" s="62">
        <f t="shared" si="0"/>
        <v>1.523062712198276E-3</v>
      </c>
      <c r="N65" s="14">
        <v>0.73265000000000002</v>
      </c>
      <c r="O65" s="73">
        <v>1.8947844827586209E-3</v>
      </c>
    </row>
    <row r="66" spans="1:15" s="4" customFormat="1">
      <c r="A66" s="209" t="s">
        <v>226</v>
      </c>
      <c r="B66" s="6" t="s">
        <v>402</v>
      </c>
      <c r="C66" s="12" t="s">
        <v>154</v>
      </c>
      <c r="D66" s="61">
        <v>12010</v>
      </c>
      <c r="E66" s="12">
        <v>0.117678</v>
      </c>
      <c r="F66" s="12">
        <v>1.3</v>
      </c>
      <c r="G66" s="12">
        <v>2.483E-3</v>
      </c>
      <c r="H66" s="12">
        <v>2.8911999999999996E-3</v>
      </c>
      <c r="I66" s="12">
        <v>3.3426000000000002E-4</v>
      </c>
      <c r="J66" s="12" t="s">
        <v>193</v>
      </c>
      <c r="K66" s="12">
        <v>7.8968099666666664E-5</v>
      </c>
      <c r="L66" s="12">
        <v>5.7874280996666663E-3</v>
      </c>
      <c r="M66" s="61">
        <f t="shared" si="0"/>
        <v>1.1983967496033908E-2</v>
      </c>
      <c r="N66" s="12">
        <v>5.8839000000000002E-2</v>
      </c>
      <c r="O66" s="71">
        <v>0.12183730862068966</v>
      </c>
    </row>
    <row r="67" spans="1:15" s="4" customFormat="1">
      <c r="A67" s="210"/>
      <c r="B67" s="6" t="s">
        <v>397</v>
      </c>
      <c r="C67" s="6" t="s">
        <v>155</v>
      </c>
      <c r="D67" s="38">
        <v>8608</v>
      </c>
      <c r="E67" s="6">
        <v>2.5575000000000001E-2</v>
      </c>
      <c r="F67" s="6">
        <v>0.2</v>
      </c>
      <c r="G67" s="6">
        <v>1.56E-3</v>
      </c>
      <c r="H67" s="6">
        <v>6.0449999999999999E-5</v>
      </c>
      <c r="I67" s="6">
        <v>5.7510000000000003E-5</v>
      </c>
      <c r="J67" s="6" t="s">
        <v>194</v>
      </c>
      <c r="K67" s="6">
        <v>1.9599869499999998E-5</v>
      </c>
      <c r="L67" s="6">
        <v>1.6975598695E-3</v>
      </c>
      <c r="M67" s="38">
        <f t="shared" si="0"/>
        <v>2.5194129925268966E-3</v>
      </c>
      <c r="N67" s="6">
        <v>1.27875E-2</v>
      </c>
      <c r="O67" s="72">
        <v>1.8978413793103447E-2</v>
      </c>
    </row>
    <row r="68" spans="1:15" s="4" customFormat="1">
      <c r="A68" s="210"/>
      <c r="B68" s="6" t="s">
        <v>397</v>
      </c>
      <c r="C68" s="6" t="s">
        <v>156</v>
      </c>
      <c r="D68" s="38">
        <v>4148</v>
      </c>
      <c r="E68" s="6">
        <v>1.2199E-2</v>
      </c>
      <c r="F68" s="6">
        <v>0.5</v>
      </c>
      <c r="G68" s="6">
        <v>3.8999999999999998E-3</v>
      </c>
      <c r="H68" s="6">
        <v>4.0950000000000003E-4</v>
      </c>
      <c r="I68" s="6">
        <v>2.5110000000000003E-4</v>
      </c>
      <c r="J68" s="6" t="s">
        <v>194</v>
      </c>
      <c r="K68" s="6">
        <v>8.5576894999999997E-5</v>
      </c>
      <c r="L68" s="6">
        <v>4.6461768949999996E-3</v>
      </c>
      <c r="M68" s="38">
        <f t="shared" si="0"/>
        <v>3.3228175449068961E-3</v>
      </c>
      <c r="N68" s="6">
        <v>6.0994999999999999E-3</v>
      </c>
      <c r="O68" s="72">
        <v>4.3621941379310344E-3</v>
      </c>
    </row>
    <row r="69" spans="1:15" s="4" customFormat="1">
      <c r="A69" s="210"/>
      <c r="B69" s="6" t="s">
        <v>404</v>
      </c>
      <c r="C69" s="6" t="s">
        <v>157</v>
      </c>
      <c r="D69" s="38">
        <v>2460</v>
      </c>
      <c r="E69" s="6">
        <v>6.8075999999999998E-2</v>
      </c>
      <c r="F69" s="6">
        <v>1.3</v>
      </c>
      <c r="G69" s="6">
        <v>2.483E-3</v>
      </c>
      <c r="H69" s="6">
        <v>2.9505666666666667E-3</v>
      </c>
      <c r="I69" s="6">
        <v>3.2813999999999999E-4</v>
      </c>
      <c r="J69" s="6" t="s">
        <v>195</v>
      </c>
      <c r="K69" s="6">
        <v>3.032171593333333E-4</v>
      </c>
      <c r="L69" s="6">
        <v>6.064923826E-3</v>
      </c>
      <c r="M69" s="38">
        <f t="shared" ref="M69:M104" si="1">L69*D69/5800</f>
        <v>2.5723642434413792E-3</v>
      </c>
      <c r="N69" s="6">
        <v>3.4037999999999999E-2</v>
      </c>
      <c r="O69" s="72">
        <v>1.4436806896551723E-2</v>
      </c>
    </row>
    <row r="70" spans="1:15" s="4" customFormat="1">
      <c r="A70" s="210"/>
      <c r="B70" s="6" t="s">
        <v>402</v>
      </c>
      <c r="C70" s="6" t="s">
        <v>158</v>
      </c>
      <c r="D70" s="38">
        <v>2390</v>
      </c>
      <c r="E70" s="6">
        <v>0.102627</v>
      </c>
      <c r="F70" s="6">
        <v>1.4</v>
      </c>
      <c r="G70" s="6">
        <v>2.6739999999999997E-3</v>
      </c>
      <c r="H70" s="6">
        <v>3.3345000000000002E-3</v>
      </c>
      <c r="I70" s="6">
        <v>4.7303999999999998E-4</v>
      </c>
      <c r="J70" s="6" t="s">
        <v>196</v>
      </c>
      <c r="K70" s="6">
        <v>1.1175453199999999E-4</v>
      </c>
      <c r="L70" s="6">
        <v>6.5932945319999992E-3</v>
      </c>
      <c r="M70" s="38">
        <f t="shared" si="1"/>
        <v>2.7168920571517237E-3</v>
      </c>
      <c r="N70" s="6">
        <v>5.1313499999999998E-2</v>
      </c>
      <c r="O70" s="72">
        <v>2.1144700862068964E-2</v>
      </c>
    </row>
    <row r="71" spans="1:15" s="4" customFormat="1">
      <c r="A71" s="210"/>
      <c r="B71" s="6" t="s">
        <v>404</v>
      </c>
      <c r="C71" s="6" t="s">
        <v>159</v>
      </c>
      <c r="D71" s="38">
        <v>2268</v>
      </c>
      <c r="E71" s="6">
        <v>8.2183999999999993E-2</v>
      </c>
      <c r="F71" s="6">
        <v>0.3</v>
      </c>
      <c r="G71" s="6">
        <v>2.3399999999999996E-3</v>
      </c>
      <c r="H71" s="6">
        <v>1.142142857142857E-4</v>
      </c>
      <c r="I71" s="6">
        <v>9.6042857142857139E-5</v>
      </c>
      <c r="J71" s="6" t="s">
        <v>197</v>
      </c>
      <c r="K71" s="6">
        <v>1.3782149999999995E-4</v>
      </c>
      <c r="L71" s="6">
        <v>2.6880786428571425E-3</v>
      </c>
      <c r="M71" s="38">
        <f t="shared" si="1"/>
        <v>1.0511314417241378E-3</v>
      </c>
      <c r="N71" s="6">
        <v>4.1091999999999997E-2</v>
      </c>
      <c r="O71" s="72">
        <v>1.6068388965517238E-2</v>
      </c>
    </row>
    <row r="72" spans="1:15" s="4" customFormat="1">
      <c r="A72" s="210"/>
      <c r="B72" s="6" t="s">
        <v>399</v>
      </c>
      <c r="C72" s="6" t="s">
        <v>160</v>
      </c>
      <c r="D72" s="38">
        <v>2260</v>
      </c>
      <c r="E72" s="6">
        <v>22.678922</v>
      </c>
      <c r="F72" s="6">
        <v>70</v>
      </c>
      <c r="G72" s="6">
        <v>6.4610000000000001E-2</v>
      </c>
      <c r="H72" s="6">
        <v>0</v>
      </c>
      <c r="I72" s="6">
        <v>1.1340000000000001E-2</v>
      </c>
      <c r="J72" s="6" t="s">
        <v>223</v>
      </c>
      <c r="K72" s="6">
        <v>0</v>
      </c>
      <c r="L72" s="6">
        <v>7.5950000000000004E-2</v>
      </c>
      <c r="M72" s="38">
        <f t="shared" si="1"/>
        <v>2.9594310344827589E-2</v>
      </c>
      <c r="N72" s="6">
        <v>11.339461</v>
      </c>
      <c r="O72" s="72">
        <v>4.4184796310344829</v>
      </c>
    </row>
    <row r="73" spans="1:15" s="4" customFormat="1">
      <c r="A73" s="210"/>
      <c r="B73" s="6" t="s">
        <v>404</v>
      </c>
      <c r="C73" s="6" t="s">
        <v>161</v>
      </c>
      <c r="D73" s="38">
        <v>1840</v>
      </c>
      <c r="E73" s="6">
        <v>9.665E-2</v>
      </c>
      <c r="F73" s="6">
        <v>2.5</v>
      </c>
      <c r="G73" s="6">
        <v>1.95E-2</v>
      </c>
      <c r="H73" s="6">
        <v>5.2065E-4</v>
      </c>
      <c r="I73" s="6">
        <v>6.2127000000000005E-4</v>
      </c>
      <c r="J73" s="6" t="s">
        <v>198</v>
      </c>
      <c r="K73" s="6">
        <v>1.7465740499999997E-4</v>
      </c>
      <c r="L73" s="6">
        <v>2.0816577405000002E-2</v>
      </c>
      <c r="M73" s="38">
        <f t="shared" si="1"/>
        <v>6.6038797284827594E-3</v>
      </c>
      <c r="N73" s="6">
        <v>4.8325000000000007E-2</v>
      </c>
      <c r="O73" s="72">
        <v>1.5330689655172414E-2</v>
      </c>
    </row>
    <row r="74" spans="1:15" s="4" customFormat="1">
      <c r="A74" s="210"/>
      <c r="B74" s="6" t="s">
        <v>394</v>
      </c>
      <c r="C74" s="6" t="s">
        <v>162</v>
      </c>
      <c r="D74" s="38">
        <v>1640</v>
      </c>
      <c r="E74" s="6">
        <v>4.1742000000000001E-2</v>
      </c>
      <c r="F74" s="6">
        <v>0.2</v>
      </c>
      <c r="G74" s="6">
        <v>1.56E-3</v>
      </c>
      <c r="H74" s="6">
        <v>6.5325000000000002E-5</v>
      </c>
      <c r="I74" s="6">
        <v>5.9535000000000005E-5</v>
      </c>
      <c r="J74" s="6" t="s">
        <v>222</v>
      </c>
      <c r="K74" s="6">
        <v>1.2127022250000002E-5</v>
      </c>
      <c r="L74" s="6">
        <v>1.6969870222500001E-3</v>
      </c>
      <c r="M74" s="38">
        <f t="shared" si="1"/>
        <v>4.7983770973965522E-4</v>
      </c>
      <c r="N74" s="6">
        <v>2.0871000000000001E-2</v>
      </c>
      <c r="O74" s="72">
        <v>5.9014551724137932E-3</v>
      </c>
    </row>
    <row r="75" spans="1:15">
      <c r="A75" s="210"/>
      <c r="B75" s="6" t="s">
        <v>393</v>
      </c>
      <c r="C75" s="3" t="s">
        <v>163</v>
      </c>
      <c r="D75" s="63">
        <v>1410</v>
      </c>
      <c r="E75" s="3">
        <v>3.0200999999999999E-2</v>
      </c>
      <c r="F75" s="3">
        <v>0.2</v>
      </c>
      <c r="G75" s="3">
        <v>1.56E-3</v>
      </c>
      <c r="H75" s="3">
        <v>5.8499999999999999E-5</v>
      </c>
      <c r="I75" s="3">
        <v>5.6700000000000003E-5</v>
      </c>
      <c r="J75" s="6" t="s">
        <v>199</v>
      </c>
      <c r="K75" s="3">
        <v>2.3406704999999998E-5</v>
      </c>
      <c r="L75" s="3">
        <v>1.6986067049999999E-3</v>
      </c>
      <c r="M75" s="38">
        <f t="shared" si="1"/>
        <v>4.1293714724999995E-4</v>
      </c>
      <c r="N75" s="3">
        <v>1.5100500000000001E-2</v>
      </c>
      <c r="O75" s="72">
        <v>3.6709836206896551E-3</v>
      </c>
    </row>
    <row r="76" spans="1:15">
      <c r="A76" s="210"/>
      <c r="B76" s="6" t="s">
        <v>403</v>
      </c>
      <c r="C76" s="3" t="s">
        <v>164</v>
      </c>
      <c r="D76" s="63">
        <v>1252</v>
      </c>
      <c r="E76" s="3">
        <v>1.48203</v>
      </c>
      <c r="F76" s="3">
        <v>34.4</v>
      </c>
      <c r="G76" s="3">
        <v>6.5703999999999999E-2</v>
      </c>
      <c r="H76" s="3">
        <v>0</v>
      </c>
      <c r="I76" s="3">
        <v>5.5728000000000001E-3</v>
      </c>
      <c r="J76" s="6" t="s">
        <v>200</v>
      </c>
      <c r="K76" s="3">
        <v>0</v>
      </c>
      <c r="L76" s="3">
        <v>7.1276800000000001E-2</v>
      </c>
      <c r="M76" s="38">
        <f t="shared" si="1"/>
        <v>1.538595751724138E-2</v>
      </c>
      <c r="N76" s="3">
        <v>0.74101499999999998</v>
      </c>
      <c r="O76" s="72">
        <v>0.15995703103448275</v>
      </c>
    </row>
    <row r="77" spans="1:15">
      <c r="A77" s="210"/>
      <c r="B77" s="6" t="s">
        <v>403</v>
      </c>
      <c r="C77" s="3" t="s">
        <v>165</v>
      </c>
      <c r="D77" s="63">
        <v>1207</v>
      </c>
      <c r="E77" s="3">
        <v>1.6631670000000001</v>
      </c>
      <c r="F77" s="3">
        <v>63.8</v>
      </c>
      <c r="G77" s="3">
        <v>0.12185799999999999</v>
      </c>
      <c r="H77" s="3">
        <v>7.5562499999999996E-3</v>
      </c>
      <c r="I77" s="3">
        <v>1.347435E-2</v>
      </c>
      <c r="J77" s="6" t="s">
        <v>201</v>
      </c>
      <c r="K77" s="3">
        <v>4.0738033724999996E-3</v>
      </c>
      <c r="L77" s="3">
        <v>0.14696240337249999</v>
      </c>
      <c r="M77" s="38">
        <f t="shared" si="1"/>
        <v>3.0583382908725431E-2</v>
      </c>
      <c r="N77" s="3">
        <v>0.83158350000000003</v>
      </c>
      <c r="O77" s="72">
        <v>0.17305539387931035</v>
      </c>
    </row>
    <row r="78" spans="1:15">
      <c r="A78" s="210"/>
      <c r="B78" s="6" t="s">
        <v>404</v>
      </c>
      <c r="C78" s="3" t="s">
        <v>166</v>
      </c>
      <c r="D78" s="63">
        <v>1180</v>
      </c>
      <c r="E78" s="3">
        <v>2.2811000000000001E-2</v>
      </c>
      <c r="F78" s="3">
        <v>0.2</v>
      </c>
      <c r="G78" s="3">
        <v>1.56E-3</v>
      </c>
      <c r="H78" s="3">
        <v>5.0699999999999999E-5</v>
      </c>
      <c r="I78" s="3">
        <v>5.3460000000000007E-5</v>
      </c>
      <c r="J78" s="6" t="s">
        <v>202</v>
      </c>
      <c r="K78" s="3">
        <v>1.08422391E-4</v>
      </c>
      <c r="L78" s="3">
        <v>1.7725823909999999E-3</v>
      </c>
      <c r="M78" s="38">
        <f t="shared" si="1"/>
        <v>3.6062883127241374E-4</v>
      </c>
      <c r="N78" s="3">
        <v>1.1405500000000001E-2</v>
      </c>
      <c r="O78" s="72">
        <v>2.3204293103448277E-3</v>
      </c>
    </row>
    <row r="79" spans="1:15">
      <c r="A79" s="210"/>
      <c r="B79" s="6" t="s">
        <v>403</v>
      </c>
      <c r="C79" s="3" t="s">
        <v>167</v>
      </c>
      <c r="D79" s="63">
        <v>1142</v>
      </c>
      <c r="E79" s="3">
        <v>0.64594399999999996</v>
      </c>
      <c r="F79" s="3">
        <v>34.1</v>
      </c>
      <c r="G79" s="3">
        <v>6.5131000000000008E-2</v>
      </c>
      <c r="H79" s="3">
        <v>2.6324999999999999E-3</v>
      </c>
      <c r="I79" s="3">
        <v>6.6177000000000007E-3</v>
      </c>
      <c r="J79" s="6" t="s">
        <v>203</v>
      </c>
      <c r="K79" s="3">
        <v>1.5079287300000001E-3</v>
      </c>
      <c r="L79" s="3">
        <v>7.5889128730000005E-2</v>
      </c>
      <c r="M79" s="38">
        <f t="shared" si="1"/>
        <v>1.4942307760286207E-2</v>
      </c>
      <c r="N79" s="3">
        <v>0.32297199999999998</v>
      </c>
      <c r="O79" s="72">
        <v>6.3592073103448277E-2</v>
      </c>
    </row>
    <row r="80" spans="1:15">
      <c r="A80" s="210"/>
      <c r="B80" s="6" t="s">
        <v>404</v>
      </c>
      <c r="C80" s="3" t="s">
        <v>168</v>
      </c>
      <c r="D80" s="63">
        <v>930</v>
      </c>
      <c r="E80" s="3">
        <v>3.5293999999999999E-2</v>
      </c>
      <c r="F80" s="3">
        <v>0.3</v>
      </c>
      <c r="G80" s="3">
        <v>2.3399999999999996E-3</v>
      </c>
      <c r="H80" s="3">
        <v>7.539999999999999E-5</v>
      </c>
      <c r="I80" s="3">
        <v>7.9920000000000007E-5</v>
      </c>
      <c r="J80" s="6" t="s">
        <v>224</v>
      </c>
      <c r="K80" s="3">
        <v>1.919624133333333E-5</v>
      </c>
      <c r="L80" s="3">
        <v>2.5145162413333332E-3</v>
      </c>
      <c r="M80" s="38">
        <f t="shared" si="1"/>
        <v>4.0318967317931034E-4</v>
      </c>
      <c r="N80" s="3">
        <v>1.7646999999999999E-2</v>
      </c>
      <c r="O80" s="72">
        <v>2.8296051724137931E-3</v>
      </c>
    </row>
    <row r="81" spans="1:15">
      <c r="A81" s="210"/>
      <c r="B81" s="6" t="s">
        <v>404</v>
      </c>
      <c r="C81" s="3" t="s">
        <v>169</v>
      </c>
      <c r="D81" s="63">
        <v>850</v>
      </c>
      <c r="E81" s="3">
        <v>2.5257999999999999E-2</v>
      </c>
      <c r="F81" s="3">
        <v>0.1</v>
      </c>
      <c r="G81" s="3">
        <v>7.7999999999999999E-4</v>
      </c>
      <c r="H81" s="3">
        <v>5.4600000000000006E-5</v>
      </c>
      <c r="I81" s="3">
        <v>3.8880000000000007E-5</v>
      </c>
      <c r="J81" s="6" t="s">
        <v>204</v>
      </c>
      <c r="K81" s="3">
        <v>5.5611359999999998E-5</v>
      </c>
      <c r="L81" s="3">
        <v>9.2909136000000002E-4</v>
      </c>
      <c r="M81" s="38">
        <f t="shared" si="1"/>
        <v>1.3615994068965519E-4</v>
      </c>
      <c r="N81" s="3">
        <v>1.2629E-2</v>
      </c>
      <c r="O81" s="72">
        <v>1.8508017241379311E-3</v>
      </c>
    </row>
    <row r="82" spans="1:15">
      <c r="A82" s="210"/>
      <c r="B82" s="6" t="s">
        <v>404</v>
      </c>
      <c r="C82" s="3" t="s">
        <v>170</v>
      </c>
      <c r="D82" s="63">
        <v>700</v>
      </c>
      <c r="E82" s="3">
        <v>6.6420999999999994E-2</v>
      </c>
      <c r="F82" s="3">
        <v>0.3</v>
      </c>
      <c r="G82" s="3">
        <v>2.3399999999999996E-3</v>
      </c>
      <c r="H82" s="3">
        <v>1.4299999999999998E-4</v>
      </c>
      <c r="I82" s="3">
        <v>1.08E-4</v>
      </c>
      <c r="J82" s="6" t="s">
        <v>199</v>
      </c>
      <c r="K82" s="3">
        <v>4.4584199999999992E-5</v>
      </c>
      <c r="L82" s="3">
        <v>2.6355841999999995E-3</v>
      </c>
      <c r="M82" s="38">
        <f t="shared" si="1"/>
        <v>3.18087748275862E-4</v>
      </c>
      <c r="N82" s="3">
        <v>3.3210499999999997E-2</v>
      </c>
      <c r="O82" s="72">
        <v>4.0081637931034479E-3</v>
      </c>
    </row>
    <row r="83" spans="1:15">
      <c r="A83" s="210"/>
      <c r="B83" s="6" t="s">
        <v>404</v>
      </c>
      <c r="C83" s="3" t="s">
        <v>171</v>
      </c>
      <c r="D83" s="63">
        <v>670</v>
      </c>
      <c r="E83" s="3">
        <v>2.5419000000000001E-2</v>
      </c>
      <c r="F83" s="3">
        <v>0.2</v>
      </c>
      <c r="G83" s="3">
        <v>1.56E-3</v>
      </c>
      <c r="H83" s="3">
        <v>1.0010000000000001E-4</v>
      </c>
      <c r="I83" s="3">
        <v>7.3979999999999993E-5</v>
      </c>
      <c r="J83" s="6" t="s">
        <v>205</v>
      </c>
      <c r="K83" s="3">
        <v>1.7660030666666665E-5</v>
      </c>
      <c r="L83" s="3">
        <v>1.7517400306666666E-3</v>
      </c>
      <c r="M83" s="38">
        <f t="shared" si="1"/>
        <v>2.0235617595632183E-4</v>
      </c>
      <c r="N83" s="3">
        <v>1.2709500000000002E-2</v>
      </c>
      <c r="O83" s="72">
        <v>1.468166379310345E-3</v>
      </c>
    </row>
    <row r="84" spans="1:15">
      <c r="A84" s="210"/>
      <c r="B84" s="6" t="s">
        <v>403</v>
      </c>
      <c r="C84" s="3" t="s">
        <v>172</v>
      </c>
      <c r="D84" s="63">
        <v>657</v>
      </c>
      <c r="E84" s="3">
        <v>0.86762899999999998</v>
      </c>
      <c r="F84" s="3">
        <v>33.299999999999997</v>
      </c>
      <c r="G84" s="3">
        <v>6.3602999999999993E-2</v>
      </c>
      <c r="H84" s="3">
        <v>1.386125E-3</v>
      </c>
      <c r="I84" s="3">
        <v>5.9703749999999991E-3</v>
      </c>
      <c r="J84" s="6" t="s">
        <v>206</v>
      </c>
      <c r="K84" s="3">
        <v>1.3250915624999997E-3</v>
      </c>
      <c r="L84" s="3">
        <v>7.2284591562499986E-2</v>
      </c>
      <c r="M84" s="38">
        <f t="shared" si="1"/>
        <v>8.1880994235452569E-3</v>
      </c>
      <c r="N84" s="3">
        <v>0.43381449999999999</v>
      </c>
      <c r="O84" s="72">
        <v>4.9140711465517239E-2</v>
      </c>
    </row>
    <row r="85" spans="1:15">
      <c r="A85" s="210"/>
      <c r="B85" s="6" t="s">
        <v>404</v>
      </c>
      <c r="C85" s="3" t="s">
        <v>173</v>
      </c>
      <c r="D85" s="63">
        <v>620</v>
      </c>
      <c r="E85" s="3">
        <v>0.15507899999999999</v>
      </c>
      <c r="F85" s="3">
        <v>0.2</v>
      </c>
      <c r="G85" s="3">
        <v>1.56E-3</v>
      </c>
      <c r="H85" s="3">
        <v>8.3200000000000003E-5</v>
      </c>
      <c r="I85" s="3">
        <v>6.6959999999999996E-5</v>
      </c>
      <c r="J85" s="6" t="s">
        <v>199</v>
      </c>
      <c r="K85" s="3">
        <v>2.7642203999999999E-5</v>
      </c>
      <c r="L85" s="3">
        <v>1.7378022039999999E-3</v>
      </c>
      <c r="M85" s="38">
        <f t="shared" si="1"/>
        <v>1.8576506318620687E-4</v>
      </c>
      <c r="N85" s="3">
        <v>7.7539499999999997E-2</v>
      </c>
      <c r="O85" s="72">
        <v>8.288705172413792E-3</v>
      </c>
    </row>
    <row r="86" spans="1:15">
      <c r="A86" s="210"/>
      <c r="B86" s="6" t="s">
        <v>397</v>
      </c>
      <c r="C86" s="3" t="s">
        <v>174</v>
      </c>
      <c r="D86" s="63">
        <v>603</v>
      </c>
      <c r="E86" s="3">
        <v>8.3988999999999994E-2</v>
      </c>
      <c r="F86" s="3">
        <v>0.2</v>
      </c>
      <c r="G86" s="3">
        <v>1.56E-3</v>
      </c>
      <c r="H86" s="3">
        <v>1.6992857142857139E-4</v>
      </c>
      <c r="I86" s="3">
        <v>1.0298571428571428E-4</v>
      </c>
      <c r="J86" s="6" t="s">
        <v>207</v>
      </c>
      <c r="K86" s="3">
        <v>7.0728299999999998E-5</v>
      </c>
      <c r="L86" s="3">
        <v>1.9036425857142858E-3</v>
      </c>
      <c r="M86" s="38">
        <f t="shared" si="1"/>
        <v>1.9791318606650246E-4</v>
      </c>
      <c r="N86" s="3">
        <v>4.1994499999999997E-2</v>
      </c>
      <c r="O86" s="72">
        <v>4.3659799137931027E-3</v>
      </c>
    </row>
    <row r="87" spans="1:15">
      <c r="A87" s="210"/>
      <c r="B87" s="6" t="s">
        <v>397</v>
      </c>
      <c r="C87" s="3" t="s">
        <v>175</v>
      </c>
      <c r="D87" s="63">
        <v>580</v>
      </c>
      <c r="E87" s="3">
        <v>7.6412999999999995E-2</v>
      </c>
      <c r="F87" s="3">
        <v>0.2</v>
      </c>
      <c r="G87" s="3">
        <v>1.56E-3</v>
      </c>
      <c r="H87" s="3">
        <v>9.3600000000000012E-5</v>
      </c>
      <c r="I87" s="3">
        <v>7.1280000000000009E-5</v>
      </c>
      <c r="J87" s="6" t="s">
        <v>199</v>
      </c>
      <c r="K87" s="3">
        <v>2.9425572000000002E-5</v>
      </c>
      <c r="L87" s="3">
        <v>1.7543055719999999E-3</v>
      </c>
      <c r="M87" s="38">
        <f t="shared" si="1"/>
        <v>1.754305572E-4</v>
      </c>
      <c r="N87" s="3">
        <v>3.8206499999999997E-2</v>
      </c>
      <c r="O87" s="72">
        <v>3.8206499999999997E-3</v>
      </c>
    </row>
    <row r="88" spans="1:15">
      <c r="A88" s="210"/>
      <c r="B88" s="6" t="s">
        <v>404</v>
      </c>
      <c r="C88" s="3" t="s">
        <v>176</v>
      </c>
      <c r="D88" s="63">
        <v>540</v>
      </c>
      <c r="E88" s="3">
        <v>1.2831E-2</v>
      </c>
      <c r="F88" s="3">
        <v>0.2</v>
      </c>
      <c r="G88" s="3">
        <v>1.56E-3</v>
      </c>
      <c r="H88" s="3">
        <v>4.8099999999999997E-5</v>
      </c>
      <c r="I88" s="3">
        <v>5.2379999999999997E-5</v>
      </c>
      <c r="J88" s="6" t="s">
        <v>208</v>
      </c>
      <c r="K88" s="3">
        <v>4.1799240000000001E-5</v>
      </c>
      <c r="L88" s="3">
        <v>1.70227924E-3</v>
      </c>
      <c r="M88" s="38">
        <f t="shared" si="1"/>
        <v>1.5848806717241379E-4</v>
      </c>
      <c r="N88" s="3">
        <v>6.4155000000000002E-3</v>
      </c>
      <c r="O88" s="72">
        <v>5.9730517241379311E-4</v>
      </c>
    </row>
    <row r="89" spans="1:15">
      <c r="A89" s="210"/>
      <c r="B89" s="6" t="s">
        <v>404</v>
      </c>
      <c r="C89" s="3" t="s">
        <v>177</v>
      </c>
      <c r="D89" s="63">
        <v>540</v>
      </c>
      <c r="E89" s="3">
        <v>0.144092</v>
      </c>
      <c r="F89" s="3">
        <v>0.25</v>
      </c>
      <c r="G89" s="3">
        <v>1.9499999999999999E-3</v>
      </c>
      <c r="H89" s="3">
        <v>1.5794999999999999E-4</v>
      </c>
      <c r="I89" s="3">
        <v>1.0611E-4</v>
      </c>
      <c r="J89" s="6" t="s">
        <v>209</v>
      </c>
      <c r="K89" s="3">
        <v>2.7746585999999999E-4</v>
      </c>
      <c r="L89" s="3">
        <v>2.4915258599999997E-3</v>
      </c>
      <c r="M89" s="38">
        <f t="shared" si="1"/>
        <v>2.3196964903448273E-4</v>
      </c>
      <c r="N89" s="3">
        <v>7.2045999999999999E-2</v>
      </c>
      <c r="O89" s="72">
        <v>6.7077310344827584E-3</v>
      </c>
    </row>
    <row r="90" spans="1:15">
      <c r="A90" s="210"/>
      <c r="B90" s="6" t="s">
        <v>394</v>
      </c>
      <c r="C90" s="3" t="s">
        <v>178</v>
      </c>
      <c r="D90" s="63">
        <v>518</v>
      </c>
      <c r="E90" s="3">
        <v>5.3911449999999999</v>
      </c>
      <c r="F90" s="3">
        <v>155</v>
      </c>
      <c r="G90" s="3">
        <v>0.143065</v>
      </c>
      <c r="H90" s="3">
        <v>6.7470000000000004E-3</v>
      </c>
      <c r="I90" s="3">
        <v>2.7912599999999999E-2</v>
      </c>
      <c r="J90" s="6" t="s">
        <v>210</v>
      </c>
      <c r="K90" s="3">
        <v>5.8646440200000004E-3</v>
      </c>
      <c r="L90" s="3">
        <v>0.18358924401999999</v>
      </c>
      <c r="M90" s="38">
        <f t="shared" si="1"/>
        <v>1.6396418690062069E-2</v>
      </c>
      <c r="N90" s="3">
        <v>2.6955724999999999</v>
      </c>
      <c r="O90" s="72">
        <v>0.2407425094827586</v>
      </c>
    </row>
    <row r="91" spans="1:15">
      <c r="A91" s="210"/>
      <c r="B91" s="6" t="s">
        <v>397</v>
      </c>
      <c r="C91" s="3" t="s">
        <v>179</v>
      </c>
      <c r="D91" s="63">
        <v>504</v>
      </c>
      <c r="E91" s="3">
        <v>2.0632999999999999E-2</v>
      </c>
      <c r="F91" s="3">
        <v>0.15</v>
      </c>
      <c r="G91" s="3">
        <v>1.1699999999999998E-3</v>
      </c>
      <c r="H91" s="3">
        <v>4.5964285714285715E-5</v>
      </c>
      <c r="I91" s="3">
        <v>4.3392857142857146E-5</v>
      </c>
      <c r="J91" s="6" t="s">
        <v>211</v>
      </c>
      <c r="K91" s="3">
        <v>6.2268749999999992E-5</v>
      </c>
      <c r="L91" s="3">
        <v>1.3216258928571427E-3</v>
      </c>
      <c r="M91" s="38">
        <f t="shared" si="1"/>
        <v>1.1484473275862068E-4</v>
      </c>
      <c r="N91" s="3">
        <v>1.0316499999999999E-2</v>
      </c>
      <c r="O91" s="72">
        <v>8.9646827586206896E-4</v>
      </c>
    </row>
    <row r="92" spans="1:15">
      <c r="A92" s="210"/>
      <c r="B92" s="6" t="s">
        <v>404</v>
      </c>
      <c r="C92" s="3" t="s">
        <v>180</v>
      </c>
      <c r="D92" s="63">
        <v>500</v>
      </c>
      <c r="E92" s="3">
        <v>8.6816000000000004E-2</v>
      </c>
      <c r="F92" s="3">
        <v>2.5</v>
      </c>
      <c r="G92" s="3">
        <v>1.95E-2</v>
      </c>
      <c r="H92" s="3">
        <v>3.7050000000000001E-4</v>
      </c>
      <c r="I92" s="3">
        <v>5.5889999999999998E-4</v>
      </c>
      <c r="J92" s="6" t="s">
        <v>212</v>
      </c>
      <c r="K92" s="3">
        <v>4.1470379999999999E-4</v>
      </c>
      <c r="L92" s="3">
        <v>2.08441038E-2</v>
      </c>
      <c r="M92" s="38">
        <f t="shared" si="1"/>
        <v>1.7969054999999999E-3</v>
      </c>
      <c r="N92" s="3">
        <v>4.3408000000000002E-2</v>
      </c>
      <c r="O92" s="72">
        <v>3.7420689655172415E-3</v>
      </c>
    </row>
    <row r="93" spans="1:15">
      <c r="A93" s="210"/>
      <c r="B93" s="6" t="s">
        <v>404</v>
      </c>
      <c r="C93" s="3" t="s">
        <v>181</v>
      </c>
      <c r="D93" s="63">
        <v>480</v>
      </c>
      <c r="E93" s="3">
        <v>5.4287000000000002E-2</v>
      </c>
      <c r="F93" s="3">
        <v>2.5</v>
      </c>
      <c r="G93" s="3">
        <v>1.95E-2</v>
      </c>
      <c r="H93" s="3">
        <v>1.9305E-4</v>
      </c>
      <c r="I93" s="3">
        <v>4.8519000000000004E-4</v>
      </c>
      <c r="J93" s="6" t="s">
        <v>213</v>
      </c>
      <c r="K93" s="3">
        <v>9.5480899499999998E-5</v>
      </c>
      <c r="L93" s="3">
        <v>2.0273720899500001E-2</v>
      </c>
      <c r="M93" s="38">
        <f t="shared" si="1"/>
        <v>1.677825177889655E-3</v>
      </c>
      <c r="N93" s="3">
        <v>2.7143500000000001E-2</v>
      </c>
      <c r="O93" s="72">
        <v>2.2463586206896554E-3</v>
      </c>
    </row>
    <row r="94" spans="1:15">
      <c r="A94" s="210"/>
      <c r="B94" s="6" t="s">
        <v>403</v>
      </c>
      <c r="C94" s="3" t="s">
        <v>182</v>
      </c>
      <c r="D94" s="63">
        <v>445</v>
      </c>
      <c r="E94" s="3">
        <v>4.3534369999999996</v>
      </c>
      <c r="F94" s="3">
        <v>30.1</v>
      </c>
      <c r="G94" s="3">
        <v>7.9765000000000003E-2</v>
      </c>
      <c r="H94" s="3">
        <v>0</v>
      </c>
      <c r="I94" s="3">
        <v>4.8762000000000007E-3</v>
      </c>
      <c r="J94" s="6" t="s">
        <v>214</v>
      </c>
      <c r="K94" s="3">
        <v>0</v>
      </c>
      <c r="L94" s="3">
        <v>8.46412E-2</v>
      </c>
      <c r="M94" s="38">
        <f t="shared" si="1"/>
        <v>6.4940231034482758E-3</v>
      </c>
      <c r="N94" s="3">
        <v>2.1767184999999998</v>
      </c>
      <c r="O94" s="72">
        <v>0.16700685043103447</v>
      </c>
    </row>
    <row r="95" spans="1:15">
      <c r="A95" s="210"/>
      <c r="B95" s="6" t="s">
        <v>393</v>
      </c>
      <c r="C95" s="3" t="s">
        <v>183</v>
      </c>
      <c r="D95" s="63">
        <v>430</v>
      </c>
      <c r="E95" s="3">
        <v>1.6945999999999999E-2</v>
      </c>
      <c r="F95" s="3">
        <v>0.1</v>
      </c>
      <c r="G95" s="3">
        <v>7.7999999999999999E-4</v>
      </c>
      <c r="H95" s="3">
        <v>4.5499999999999995E-5</v>
      </c>
      <c r="I95" s="3">
        <v>3.5099999999999999E-5</v>
      </c>
      <c r="J95" s="6" t="s">
        <v>215</v>
      </c>
      <c r="K95" s="3">
        <v>7.3747700000000005E-6</v>
      </c>
      <c r="L95" s="3">
        <v>8.6797476999999994E-4</v>
      </c>
      <c r="M95" s="38">
        <f t="shared" si="1"/>
        <v>6.434985363793103E-5</v>
      </c>
      <c r="N95" s="3">
        <v>8.4729999999999996E-3</v>
      </c>
      <c r="O95" s="72">
        <v>6.2817068965517232E-4</v>
      </c>
    </row>
    <row r="96" spans="1:15">
      <c r="A96" s="210"/>
      <c r="B96" s="6" t="s">
        <v>399</v>
      </c>
      <c r="C96" s="3" t="s">
        <v>184</v>
      </c>
      <c r="D96" s="63">
        <v>406</v>
      </c>
      <c r="E96" s="3">
        <v>0.29479699999999998</v>
      </c>
      <c r="F96" s="3">
        <v>0.35</v>
      </c>
      <c r="G96" s="3">
        <v>2.7299999999999998E-3</v>
      </c>
      <c r="H96" s="3">
        <v>5.8848214285714284E-5</v>
      </c>
      <c r="I96" s="3">
        <v>8.1144642857142852E-5</v>
      </c>
      <c r="J96" s="6" t="s">
        <v>202</v>
      </c>
      <c r="K96" s="3">
        <v>1.6456970062499998E-4</v>
      </c>
      <c r="L96" s="3">
        <v>3.0345625577678568E-3</v>
      </c>
      <c r="M96" s="38">
        <f t="shared" si="1"/>
        <v>2.1241937904374996E-4</v>
      </c>
      <c r="N96" s="3">
        <v>0.14739849999999999</v>
      </c>
      <c r="O96" s="72">
        <v>1.0317894999999999E-2</v>
      </c>
    </row>
    <row r="97" spans="1:15">
      <c r="A97" s="210"/>
      <c r="B97" s="6" t="s">
        <v>397</v>
      </c>
      <c r="C97" s="3" t="s">
        <v>185</v>
      </c>
      <c r="D97" s="63">
        <v>400</v>
      </c>
      <c r="E97" s="3">
        <v>0.633135</v>
      </c>
      <c r="F97" s="3">
        <v>1.93</v>
      </c>
      <c r="G97" s="3">
        <v>4.3232E-2</v>
      </c>
      <c r="H97" s="3">
        <v>2.1255000000000002E-4</v>
      </c>
      <c r="I97" s="3">
        <v>4.0094999999999996E-4</v>
      </c>
      <c r="J97" s="6" t="s">
        <v>225</v>
      </c>
      <c r="K97" s="3">
        <v>1.4159078999999999E-4</v>
      </c>
      <c r="L97" s="3">
        <v>4.3987090790000002E-2</v>
      </c>
      <c r="M97" s="38">
        <f t="shared" si="1"/>
        <v>3.0335924682758624E-3</v>
      </c>
      <c r="N97" s="3">
        <v>0.3165675</v>
      </c>
      <c r="O97" s="72">
        <v>2.1832241379310342E-2</v>
      </c>
    </row>
    <row r="98" spans="1:15">
      <c r="A98" s="210"/>
      <c r="B98" s="6" t="s">
        <v>393</v>
      </c>
      <c r="C98" s="3" t="s">
        <v>186</v>
      </c>
      <c r="D98" s="63">
        <v>400</v>
      </c>
      <c r="E98" s="3">
        <v>3.7025000000000002E-2</v>
      </c>
      <c r="F98" s="3">
        <v>0.3</v>
      </c>
      <c r="G98" s="3">
        <v>2.3399999999999996E-3</v>
      </c>
      <c r="H98" s="3">
        <v>4.3289999999999994E-5</v>
      </c>
      <c r="I98" s="3">
        <v>6.6582000000000007E-5</v>
      </c>
      <c r="J98" s="6" t="s">
        <v>216</v>
      </c>
      <c r="K98" s="3">
        <v>2.0557151399999996E-5</v>
      </c>
      <c r="L98" s="3">
        <v>2.4704291513999999E-3</v>
      </c>
      <c r="M98" s="38">
        <f t="shared" si="1"/>
        <v>1.7037442423448274E-4</v>
      </c>
      <c r="N98" s="3">
        <v>1.8512500000000001E-2</v>
      </c>
      <c r="O98" s="72">
        <v>1.2767241379310346E-3</v>
      </c>
    </row>
    <row r="99" spans="1:15">
      <c r="A99" s="210"/>
      <c r="B99" s="6" t="s">
        <v>404</v>
      </c>
      <c r="C99" s="3" t="s">
        <v>187</v>
      </c>
      <c r="D99" s="63">
        <v>370</v>
      </c>
      <c r="E99" s="3">
        <v>0.45294899999999999</v>
      </c>
      <c r="F99" s="3">
        <v>1</v>
      </c>
      <c r="G99" s="3">
        <v>2.24E-2</v>
      </c>
      <c r="H99" s="3">
        <v>1.4198785714285714E-2</v>
      </c>
      <c r="I99" s="3">
        <v>5.1955714285714292E-4</v>
      </c>
      <c r="J99" s="6" t="s">
        <v>217</v>
      </c>
      <c r="K99" s="3">
        <v>5.2055420714285704E-5</v>
      </c>
      <c r="L99" s="3">
        <v>3.717039827785714E-2</v>
      </c>
      <c r="M99" s="38">
        <f t="shared" si="1"/>
        <v>2.3712150625529553E-3</v>
      </c>
      <c r="N99" s="3">
        <v>0.2264745</v>
      </c>
      <c r="O99" s="72">
        <v>1.4447511206896552E-2</v>
      </c>
    </row>
    <row r="100" spans="1:15">
      <c r="A100" s="210"/>
      <c r="B100" s="6" t="s">
        <v>404</v>
      </c>
      <c r="C100" s="3" t="s">
        <v>188</v>
      </c>
      <c r="D100" s="63">
        <v>368</v>
      </c>
      <c r="E100" s="3">
        <v>4.5995000000000001E-2</v>
      </c>
      <c r="F100" s="3">
        <v>2.4</v>
      </c>
      <c r="G100" s="3">
        <v>1.8719999999999997E-2</v>
      </c>
      <c r="H100" s="3">
        <v>3.0712499999999994E-4</v>
      </c>
      <c r="I100" s="3">
        <v>5.1637500000000002E-4</v>
      </c>
      <c r="J100" s="6" t="s">
        <v>218</v>
      </c>
      <c r="K100" s="3">
        <v>3.6065924999999997E-4</v>
      </c>
      <c r="L100" s="3">
        <v>1.9904159249999998E-2</v>
      </c>
      <c r="M100" s="38">
        <f t="shared" si="1"/>
        <v>1.2628845868965515E-3</v>
      </c>
      <c r="N100" s="3">
        <v>2.2997500000000001E-2</v>
      </c>
      <c r="O100" s="72">
        <v>1.4591517241379309E-3</v>
      </c>
    </row>
    <row r="101" spans="1:15">
      <c r="A101" s="210"/>
      <c r="B101" s="6" t="s">
        <v>394</v>
      </c>
      <c r="C101" s="3" t="s">
        <v>189</v>
      </c>
      <c r="D101" s="63">
        <v>350</v>
      </c>
      <c r="E101" s="3">
        <v>1.9091E-2</v>
      </c>
      <c r="F101" s="3">
        <v>0.2</v>
      </c>
      <c r="G101" s="3">
        <v>1.56E-3</v>
      </c>
      <c r="H101" s="3">
        <v>8.7750000000000005E-5</v>
      </c>
      <c r="I101" s="3">
        <v>6.8850000000000007E-5</v>
      </c>
      <c r="J101" s="6" t="s">
        <v>219</v>
      </c>
      <c r="K101" s="3">
        <v>4.3465599999999999E-5</v>
      </c>
      <c r="L101" s="3">
        <v>1.7600656000000001E-3</v>
      </c>
      <c r="M101" s="38">
        <f t="shared" si="1"/>
        <v>1.062108551724138E-4</v>
      </c>
      <c r="N101" s="3">
        <v>9.5455000000000002E-3</v>
      </c>
      <c r="O101" s="72">
        <v>5.7602155172413797E-4</v>
      </c>
    </row>
    <row r="102" spans="1:15">
      <c r="A102" s="210"/>
      <c r="B102" s="6" t="s">
        <v>404</v>
      </c>
      <c r="C102" s="3" t="s">
        <v>190</v>
      </c>
      <c r="D102" s="63">
        <v>337</v>
      </c>
      <c r="E102" s="3">
        <v>1.838095</v>
      </c>
      <c r="F102" s="3">
        <v>3.9</v>
      </c>
      <c r="G102" s="3">
        <v>3.0419999999999999E-2</v>
      </c>
      <c r="H102" s="3">
        <v>2.2230000000000001E-3</v>
      </c>
      <c r="I102" s="3">
        <v>1.5552000000000001E-3</v>
      </c>
      <c r="J102" s="6" t="s">
        <v>220</v>
      </c>
      <c r="K102" s="3">
        <v>2.2051008E-3</v>
      </c>
      <c r="L102" s="3">
        <v>3.6403300799999996E-2</v>
      </c>
      <c r="M102" s="38">
        <f t="shared" si="1"/>
        <v>2.115157305103448E-3</v>
      </c>
      <c r="N102" s="3">
        <v>0.91904750000000013</v>
      </c>
      <c r="O102" s="72">
        <v>5.339982887931035E-2</v>
      </c>
    </row>
    <row r="103" spans="1:15">
      <c r="A103" s="210"/>
      <c r="B103" s="6" t="s">
        <v>397</v>
      </c>
      <c r="C103" s="3" t="s">
        <v>191</v>
      </c>
      <c r="D103" s="63">
        <v>330</v>
      </c>
      <c r="E103" s="3">
        <v>3.0714999999999999E-2</v>
      </c>
      <c r="F103" s="3">
        <v>0.2</v>
      </c>
      <c r="G103" s="3">
        <v>1.56E-3</v>
      </c>
      <c r="H103" s="3">
        <v>6.1099999999999994E-5</v>
      </c>
      <c r="I103" s="3">
        <v>5.7780000000000006E-5</v>
      </c>
      <c r="J103" s="6" t="s">
        <v>208</v>
      </c>
      <c r="K103" s="3">
        <v>4.6108440000000003E-5</v>
      </c>
      <c r="L103" s="3">
        <v>1.72498844E-3</v>
      </c>
      <c r="M103" s="38">
        <f t="shared" si="1"/>
        <v>9.8145894000000009E-5</v>
      </c>
      <c r="N103" s="3">
        <v>1.53575E-2</v>
      </c>
      <c r="O103" s="72">
        <v>8.7378879310344817E-4</v>
      </c>
    </row>
    <row r="104" spans="1:15" ht="16.5" thickBot="1">
      <c r="A104" s="211"/>
      <c r="B104" s="117" t="s">
        <v>403</v>
      </c>
      <c r="C104" s="9" t="s">
        <v>192</v>
      </c>
      <c r="D104" s="64">
        <v>323</v>
      </c>
      <c r="E104" s="9">
        <v>1.747126</v>
      </c>
      <c r="F104" s="9">
        <v>29.1</v>
      </c>
      <c r="G104" s="9">
        <v>5.5581000000000005E-2</v>
      </c>
      <c r="H104" s="9">
        <v>2.1703500000000001E-3</v>
      </c>
      <c r="I104" s="9">
        <v>5.6157300000000011E-3</v>
      </c>
      <c r="J104" s="10" t="s">
        <v>221</v>
      </c>
      <c r="K104" s="9">
        <v>1.5787480949999997E-3</v>
      </c>
      <c r="L104" s="9">
        <v>6.4945828095000005E-2</v>
      </c>
      <c r="M104" s="68">
        <f t="shared" si="1"/>
        <v>3.6168107714974139E-3</v>
      </c>
      <c r="N104" s="9">
        <v>0.87356299999999998</v>
      </c>
      <c r="O104" s="74">
        <v>4.8648422241379309E-2</v>
      </c>
    </row>
    <row r="105" spans="1:15" ht="24" thickBot="1">
      <c r="A105" s="203" t="s">
        <v>41</v>
      </c>
      <c r="B105" s="204"/>
      <c r="C105" s="205"/>
      <c r="D105" s="65">
        <f>SUM(D4:D104)</f>
        <v>273359</v>
      </c>
      <c r="E105" s="18"/>
      <c r="F105" s="17">
        <f t="shared" ref="F105:O105" si="2">SUM(F4:F104)</f>
        <v>1812.3299999999997</v>
      </c>
      <c r="G105" s="17">
        <f t="shared" si="2"/>
        <v>5.3339094499999931</v>
      </c>
      <c r="H105" s="17">
        <f t="shared" si="2"/>
        <v>0.62404209607142835</v>
      </c>
      <c r="I105" s="17">
        <f t="shared" si="2"/>
        <v>0.54388082221428558</v>
      </c>
      <c r="J105" s="18"/>
      <c r="K105" s="17">
        <f t="shared" si="2"/>
        <v>0.19689803494348934</v>
      </c>
      <c r="L105" s="18"/>
      <c r="M105" s="69">
        <f t="shared" si="2"/>
        <v>1.4120413390778179</v>
      </c>
      <c r="N105" s="18"/>
      <c r="O105" s="75">
        <f t="shared" si="2"/>
        <v>21.48998416370689</v>
      </c>
    </row>
    <row r="107" spans="1:15">
      <c r="D107" s="111"/>
    </row>
  </sheetData>
  <autoFilter ref="B3:O105"/>
  <mergeCells count="13">
    <mergeCell ref="Q4:Q8"/>
    <mergeCell ref="A105:C105"/>
    <mergeCell ref="A4:A65"/>
    <mergeCell ref="A66:A104"/>
    <mergeCell ref="A1:C2"/>
    <mergeCell ref="N2:O2"/>
    <mergeCell ref="D1:D2"/>
    <mergeCell ref="E1:E2"/>
    <mergeCell ref="F2:G2"/>
    <mergeCell ref="L2:M2"/>
    <mergeCell ref="J2:K2"/>
    <mergeCell ref="F1:M1"/>
    <mergeCell ref="N1: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showGridLines="0" zoomScale="60" workbookViewId="0">
      <selection activeCell="D47" sqref="D47"/>
    </sheetView>
  </sheetViews>
  <sheetFormatPr baseColWidth="10" defaultRowHeight="15.75"/>
  <cols>
    <col min="2" max="2" width="64.5" customWidth="1"/>
    <col min="3" max="3" width="13.625" customWidth="1"/>
    <col min="4" max="4" width="14.875" customWidth="1"/>
    <col min="5" max="5" width="20.375" customWidth="1"/>
    <col min="6" max="6" width="14.125" customWidth="1"/>
    <col min="7" max="7" width="16.625" customWidth="1"/>
    <col min="8" max="8" width="17.875" customWidth="1"/>
    <col min="9" max="9" width="24.375" customWidth="1"/>
    <col min="10" max="10" width="14.125" customWidth="1"/>
    <col min="11" max="11" width="16" customWidth="1"/>
    <col min="12" max="12" width="20.375" customWidth="1"/>
    <col min="13" max="13" width="17.375" customWidth="1"/>
    <col min="14" max="14" width="22.625" customWidth="1"/>
  </cols>
  <sheetData>
    <row r="1" spans="1:20" ht="31.5">
      <c r="A1" s="238"/>
      <c r="B1" s="239"/>
      <c r="C1" s="222"/>
      <c r="D1" s="222"/>
      <c r="E1" s="225" t="s">
        <v>151</v>
      </c>
      <c r="F1" s="225"/>
      <c r="G1" s="225"/>
      <c r="H1" s="225"/>
      <c r="I1" s="225"/>
      <c r="J1" s="225"/>
      <c r="K1" s="225"/>
      <c r="L1" s="225"/>
      <c r="M1" s="225" t="s">
        <v>152</v>
      </c>
      <c r="N1" s="226"/>
    </row>
    <row r="2" spans="1:20" ht="18.75">
      <c r="A2" s="240"/>
      <c r="B2" s="241"/>
      <c r="C2" s="223"/>
      <c r="D2" s="223"/>
      <c r="E2" s="227" t="s">
        <v>275</v>
      </c>
      <c r="F2" s="227"/>
      <c r="G2" s="22" t="s">
        <v>147</v>
      </c>
      <c r="H2" s="22" t="s">
        <v>136</v>
      </c>
      <c r="I2" s="227" t="s">
        <v>137</v>
      </c>
      <c r="J2" s="227"/>
      <c r="K2" s="227" t="s">
        <v>143</v>
      </c>
      <c r="L2" s="227"/>
      <c r="M2" s="227"/>
      <c r="N2" s="228"/>
    </row>
    <row r="3" spans="1:20" ht="65.099999999999994" customHeight="1" thickBot="1">
      <c r="A3" s="15"/>
      <c r="B3" s="23" t="s">
        <v>146</v>
      </c>
      <c r="C3" s="23" t="s">
        <v>134</v>
      </c>
      <c r="D3" s="24" t="s">
        <v>149</v>
      </c>
      <c r="E3" s="25" t="s">
        <v>135</v>
      </c>
      <c r="F3" s="26" t="s">
        <v>142</v>
      </c>
      <c r="G3" s="26" t="s">
        <v>142</v>
      </c>
      <c r="H3" s="26" t="s">
        <v>142</v>
      </c>
      <c r="I3" s="26" t="s">
        <v>276</v>
      </c>
      <c r="J3" s="26" t="s">
        <v>142</v>
      </c>
      <c r="K3" s="25" t="s">
        <v>144</v>
      </c>
      <c r="L3" s="25" t="s">
        <v>145</v>
      </c>
      <c r="M3" s="25" t="s">
        <v>144</v>
      </c>
      <c r="N3" s="27" t="s">
        <v>145</v>
      </c>
    </row>
    <row r="4" spans="1:20" ht="15.95" customHeight="1">
      <c r="A4" s="206" t="s">
        <v>228</v>
      </c>
      <c r="B4" s="12" t="s">
        <v>229</v>
      </c>
      <c r="C4" s="11">
        <v>155000</v>
      </c>
      <c r="D4" s="11">
        <v>5.8409999999999998E-3</v>
      </c>
      <c r="E4" s="11">
        <v>0.85599999999999998</v>
      </c>
      <c r="F4" s="11">
        <v>9.2233999999999979E-3</v>
      </c>
      <c r="G4" s="11">
        <v>2.6271E-5</v>
      </c>
      <c r="H4" s="11">
        <v>1.4887799999999999E-4</v>
      </c>
      <c r="I4" s="12" t="s">
        <v>277</v>
      </c>
      <c r="J4" s="11">
        <v>1.8177378879999999E-4</v>
      </c>
      <c r="K4" s="11">
        <v>9.580322788799998E-3</v>
      </c>
      <c r="L4" s="31">
        <f>K4*C4/5800</f>
        <v>0.25602586763172408</v>
      </c>
      <c r="M4" s="11">
        <v>1.8399149999999999E-3</v>
      </c>
      <c r="N4" s="33">
        <v>4.9170142241379312E-2</v>
      </c>
      <c r="P4" s="229" t="s">
        <v>298</v>
      </c>
      <c r="Q4" s="230"/>
      <c r="R4" s="230"/>
      <c r="S4" s="230"/>
      <c r="T4" s="231"/>
    </row>
    <row r="5" spans="1:20" ht="15.95" customHeight="1">
      <c r="A5" s="207"/>
      <c r="B5" s="6" t="s">
        <v>230</v>
      </c>
      <c r="C5" s="3">
        <v>60500</v>
      </c>
      <c r="D5" s="3">
        <v>1.44E-2</v>
      </c>
      <c r="E5" s="3">
        <v>0.4</v>
      </c>
      <c r="F5" s="3">
        <v>2.8640000000000002E-3</v>
      </c>
      <c r="G5" s="3">
        <v>4.6039000000000003E-4</v>
      </c>
      <c r="H5" s="3">
        <v>5.2316200000000008E-4</v>
      </c>
      <c r="I5" s="6" t="s">
        <v>278</v>
      </c>
      <c r="J5" s="3">
        <v>6.692464000000001E-4</v>
      </c>
      <c r="K5" s="3">
        <v>4.5167984000000008E-3</v>
      </c>
      <c r="L5" s="7">
        <f t="shared" ref="L5:L48" si="0">K5*C5/5800</f>
        <v>4.711487986206897E-2</v>
      </c>
      <c r="M5" s="3">
        <v>4.5360000000000001E-3</v>
      </c>
      <c r="N5" s="34">
        <v>4.73151724137931E-2</v>
      </c>
      <c r="P5" s="232"/>
      <c r="Q5" s="233"/>
      <c r="R5" s="233"/>
      <c r="S5" s="233"/>
      <c r="T5" s="234"/>
    </row>
    <row r="6" spans="1:20" ht="15.95" customHeight="1">
      <c r="A6" s="207"/>
      <c r="B6" s="6" t="s">
        <v>231</v>
      </c>
      <c r="C6" s="3">
        <v>37680</v>
      </c>
      <c r="D6" s="3">
        <v>0.198905</v>
      </c>
      <c r="E6" s="3">
        <v>28.4</v>
      </c>
      <c r="F6" s="3">
        <v>6.7227999999999996E-2</v>
      </c>
      <c r="G6" s="3">
        <v>6.9529999999999991E-3</v>
      </c>
      <c r="H6" s="3">
        <v>3.0697700000000001E-2</v>
      </c>
      <c r="I6" s="6" t="s">
        <v>279</v>
      </c>
      <c r="J6" s="3">
        <v>3.6196970000000002E-2</v>
      </c>
      <c r="K6" s="3">
        <v>0.14107566999999999</v>
      </c>
      <c r="L6" s="7">
        <f t="shared" si="0"/>
        <v>0.91650538717241359</v>
      </c>
      <c r="M6" s="3">
        <v>6.2655075000000005E-2</v>
      </c>
      <c r="N6" s="34">
        <v>0.40704193551724138</v>
      </c>
      <c r="P6" s="232"/>
      <c r="Q6" s="233"/>
      <c r="R6" s="233"/>
      <c r="S6" s="233"/>
      <c r="T6" s="234"/>
    </row>
    <row r="7" spans="1:20" ht="15.95" customHeight="1">
      <c r="A7" s="207"/>
      <c r="B7" s="6" t="s">
        <v>232</v>
      </c>
      <c r="C7" s="3">
        <v>32280</v>
      </c>
      <c r="D7" s="3">
        <v>5.4754999999999998E-2</v>
      </c>
      <c r="E7" s="3">
        <v>0.3</v>
      </c>
      <c r="F7" s="3">
        <v>5.9800000000000009E-3</v>
      </c>
      <c r="G7" s="3">
        <v>8.8399999999999991E-4</v>
      </c>
      <c r="H7" s="3">
        <v>8.0515999999999997E-4</v>
      </c>
      <c r="I7" s="6" t="s">
        <v>280</v>
      </c>
      <c r="J7" s="3">
        <v>9.9411715999999989E-4</v>
      </c>
      <c r="K7" s="3">
        <v>8.6632771599999998E-3</v>
      </c>
      <c r="L7" s="7">
        <f t="shared" si="0"/>
        <v>4.8215618400827588E-2</v>
      </c>
      <c r="M7" s="3">
        <v>1.7247824999999998E-2</v>
      </c>
      <c r="N7" s="34">
        <v>9.5993067413793098E-2</v>
      </c>
      <c r="P7" s="232"/>
      <c r="Q7" s="233"/>
      <c r="R7" s="233"/>
      <c r="S7" s="233"/>
      <c r="T7" s="234"/>
    </row>
    <row r="8" spans="1:20" ht="17.100000000000001" customHeight="1">
      <c r="A8" s="207"/>
      <c r="B8" s="6" t="s">
        <v>233</v>
      </c>
      <c r="C8" s="3">
        <v>30600</v>
      </c>
      <c r="D8" s="3">
        <v>2.7875E-2</v>
      </c>
      <c r="E8" s="3">
        <v>0.85599999999999998</v>
      </c>
      <c r="F8" s="3">
        <v>9.2233999999999979E-3</v>
      </c>
      <c r="G8" s="3">
        <v>1.5280000000000001E-3</v>
      </c>
      <c r="H8" s="3">
        <v>9.3680800000000002E-4</v>
      </c>
      <c r="I8" s="6" t="s">
        <v>277</v>
      </c>
      <c r="J8" s="3">
        <v>9.9608485119999997E-4</v>
      </c>
      <c r="K8" s="3">
        <v>1.2684292851199999E-2</v>
      </c>
      <c r="L8" s="7">
        <f t="shared" si="0"/>
        <v>6.692057952529655E-2</v>
      </c>
      <c r="M8" s="3">
        <v>8.780625000000002E-3</v>
      </c>
      <c r="N8" s="34">
        <v>4.6325366379310354E-2</v>
      </c>
      <c r="P8" s="232"/>
      <c r="Q8" s="233"/>
      <c r="R8" s="233"/>
      <c r="S8" s="233"/>
      <c r="T8" s="234"/>
    </row>
    <row r="9" spans="1:20" ht="15.95" customHeight="1">
      <c r="A9" s="207"/>
      <c r="B9" s="6" t="s">
        <v>234</v>
      </c>
      <c r="C9" s="3">
        <v>29700</v>
      </c>
      <c r="D9" s="3">
        <v>4.2099999999999999E-2</v>
      </c>
      <c r="E9" s="3">
        <v>1.0249999999999999</v>
      </c>
      <c r="F9" s="3">
        <v>2.0499999999999997E-3</v>
      </c>
      <c r="G9" s="3">
        <v>4.4460000000000005E-5</v>
      </c>
      <c r="H9" s="3">
        <v>9.8504300000000012E-4</v>
      </c>
      <c r="I9" s="6" t="s">
        <v>281</v>
      </c>
      <c r="J9" s="3">
        <v>1.3202673025000001E-3</v>
      </c>
      <c r="K9" s="3">
        <v>4.3997703024999998E-3</v>
      </c>
      <c r="L9" s="7">
        <f t="shared" si="0"/>
        <v>2.2529858273146554E-2</v>
      </c>
      <c r="M9" s="3">
        <v>1.3261499999999999E-2</v>
      </c>
      <c r="N9" s="34">
        <v>6.7908025862068955E-2</v>
      </c>
      <c r="P9" s="232"/>
      <c r="Q9" s="233"/>
      <c r="R9" s="233"/>
      <c r="S9" s="233"/>
      <c r="T9" s="234"/>
    </row>
    <row r="10" spans="1:20">
      <c r="A10" s="207"/>
      <c r="B10" s="6" t="s">
        <v>235</v>
      </c>
      <c r="C10" s="3">
        <v>25900</v>
      </c>
      <c r="D10" s="3">
        <v>7.7001E-2</v>
      </c>
      <c r="E10" s="3">
        <v>4.7</v>
      </c>
      <c r="F10" s="3">
        <v>1.1272000000000001E-2</v>
      </c>
      <c r="G10" s="3">
        <v>5.0964599999999997E-3</v>
      </c>
      <c r="H10" s="3">
        <v>6.2596680000000003E-3</v>
      </c>
      <c r="I10" s="6" t="s">
        <v>282</v>
      </c>
      <c r="J10" s="3">
        <v>7.7518325676000002E-3</v>
      </c>
      <c r="K10" s="3">
        <v>3.0379960567600003E-2</v>
      </c>
      <c r="L10" s="7">
        <f t="shared" si="0"/>
        <v>0.13566223770704139</v>
      </c>
      <c r="M10" s="3">
        <v>2.4255315E-2</v>
      </c>
      <c r="N10" s="34">
        <v>0.1083125273275862</v>
      </c>
      <c r="P10" s="232"/>
      <c r="Q10" s="233"/>
      <c r="R10" s="233"/>
      <c r="S10" s="233"/>
      <c r="T10" s="234"/>
    </row>
    <row r="11" spans="1:20">
      <c r="A11" s="207"/>
      <c r="B11" s="6" t="s">
        <v>236</v>
      </c>
      <c r="C11" s="3">
        <v>22700</v>
      </c>
      <c r="D11" s="3">
        <v>4.4913000000000002E-2</v>
      </c>
      <c r="E11" s="3">
        <v>0.85599999999999998</v>
      </c>
      <c r="F11" s="3">
        <v>9.2233999999999979E-3</v>
      </c>
      <c r="G11" s="3">
        <v>6.112E-4</v>
      </c>
      <c r="H11" s="3">
        <v>8.5904800000000006E-4</v>
      </c>
      <c r="I11" s="6" t="s">
        <v>277</v>
      </c>
      <c r="J11" s="3">
        <v>9.0114315520000007E-4</v>
      </c>
      <c r="K11" s="3">
        <v>1.1594791155199999E-2</v>
      </c>
      <c r="L11" s="7">
        <f t="shared" si="0"/>
        <v>4.5379613659144821E-2</v>
      </c>
      <c r="M11" s="3">
        <v>1.4147595000000001E-2</v>
      </c>
      <c r="N11" s="34">
        <v>5.5370759741379318E-2</v>
      </c>
      <c r="P11" s="232"/>
      <c r="Q11" s="233"/>
      <c r="R11" s="233"/>
      <c r="S11" s="233"/>
      <c r="T11" s="234"/>
    </row>
    <row r="12" spans="1:20" ht="16.5" thickBot="1">
      <c r="A12" s="207"/>
      <c r="B12" s="6" t="s">
        <v>237</v>
      </c>
      <c r="C12" s="3">
        <v>22100</v>
      </c>
      <c r="D12" s="3">
        <v>0.18179999999999999</v>
      </c>
      <c r="E12" s="3">
        <v>1.5</v>
      </c>
      <c r="F12" s="3">
        <v>1.5160500000000001E-3</v>
      </c>
      <c r="G12" s="3">
        <v>6.112E-4</v>
      </c>
      <c r="H12" s="3">
        <v>1.74924E-3</v>
      </c>
      <c r="I12" s="6" t="s">
        <v>297</v>
      </c>
      <c r="J12" s="3">
        <v>1.8053074279999999E-3</v>
      </c>
      <c r="K12" s="3">
        <v>5.6817974280000006E-3</v>
      </c>
      <c r="L12" s="7">
        <f t="shared" si="0"/>
        <v>2.1649607441172416E-2</v>
      </c>
      <c r="M12" s="3">
        <v>5.7266999999999998E-2</v>
      </c>
      <c r="N12" s="34">
        <v>0.21820701724137931</v>
      </c>
      <c r="P12" s="235"/>
      <c r="Q12" s="236"/>
      <c r="R12" s="236"/>
      <c r="S12" s="236"/>
      <c r="T12" s="237"/>
    </row>
    <row r="13" spans="1:20">
      <c r="A13" s="207"/>
      <c r="B13" s="6" t="s">
        <v>238</v>
      </c>
      <c r="C13" s="3">
        <v>18340</v>
      </c>
      <c r="D13" s="3">
        <v>0.19800000000000001</v>
      </c>
      <c r="E13" s="3">
        <v>13.4</v>
      </c>
      <c r="F13" s="3">
        <v>6.4947999999999992E-2</v>
      </c>
      <c r="G13" s="3">
        <v>7.0070000000000007E-2</v>
      </c>
      <c r="H13" s="3">
        <v>3.6533499999999997E-2</v>
      </c>
      <c r="I13" s="21" t="s">
        <v>283</v>
      </c>
      <c r="J13" s="3">
        <v>4.4205445239999995E-2</v>
      </c>
      <c r="K13" s="3">
        <v>0.21575694524</v>
      </c>
      <c r="L13" s="7">
        <f t="shared" si="0"/>
        <v>0.68223834063820687</v>
      </c>
      <c r="M13" s="3">
        <v>6.2370000000000002E-2</v>
      </c>
      <c r="N13" s="34">
        <v>0.19721824137931035</v>
      </c>
    </row>
    <row r="14" spans="1:20">
      <c r="A14" s="207"/>
      <c r="B14" s="6" t="s">
        <v>239</v>
      </c>
      <c r="C14" s="3">
        <v>16322</v>
      </c>
      <c r="D14" s="3">
        <v>0.28928999999999999</v>
      </c>
      <c r="E14" s="3">
        <v>9.5</v>
      </c>
      <c r="F14" s="3">
        <v>2.3685999999999999E-2</v>
      </c>
      <c r="G14" s="3">
        <v>5.921E-3</v>
      </c>
      <c r="H14" s="3">
        <v>1.2384000000000001E-2</v>
      </c>
      <c r="I14" s="6" t="s">
        <v>284</v>
      </c>
      <c r="J14" s="3">
        <v>1.342015918E-2</v>
      </c>
      <c r="K14" s="3">
        <v>5.5411159180000003E-2</v>
      </c>
      <c r="L14" s="7">
        <f t="shared" si="0"/>
        <v>0.15593464485102759</v>
      </c>
      <c r="M14" s="3">
        <v>9.1126349999999995E-2</v>
      </c>
      <c r="N14" s="34">
        <v>0.25644211805172412</v>
      </c>
    </row>
    <row r="15" spans="1:20">
      <c r="A15" s="207"/>
      <c r="B15" s="6" t="s">
        <v>240</v>
      </c>
      <c r="C15" s="3">
        <v>15600</v>
      </c>
      <c r="D15" s="3">
        <v>4.3767E-2</v>
      </c>
      <c r="E15" s="3">
        <v>3.3</v>
      </c>
      <c r="F15" s="3">
        <v>1.2139E-2</v>
      </c>
      <c r="G15" s="3">
        <v>2.2919999999999998E-3</v>
      </c>
      <c r="H15" s="3">
        <v>6.0409999999999995E-3</v>
      </c>
      <c r="I15" s="6" t="s">
        <v>285</v>
      </c>
      <c r="J15" s="3">
        <v>8.3679936399999998E-3</v>
      </c>
      <c r="K15" s="3">
        <v>2.8839993639999999E-2</v>
      </c>
      <c r="L15" s="7">
        <f t="shared" si="0"/>
        <v>7.7569638066206897E-2</v>
      </c>
      <c r="M15" s="3">
        <v>1.3786605E-2</v>
      </c>
      <c r="N15" s="34">
        <v>3.7081213448275863E-2</v>
      </c>
    </row>
    <row r="16" spans="1:20">
      <c r="A16" s="207"/>
      <c r="B16" s="6" t="s">
        <v>241</v>
      </c>
      <c r="C16" s="3">
        <v>12100</v>
      </c>
      <c r="D16" s="3">
        <v>7.2751999999999997E-2</v>
      </c>
      <c r="E16" s="3">
        <v>5</v>
      </c>
      <c r="F16" s="3">
        <v>1.9549999999999998E-2</v>
      </c>
      <c r="G16" s="3">
        <v>3.2469999999999999E-3</v>
      </c>
      <c r="H16" s="3">
        <v>9.7054000000000012E-3</v>
      </c>
      <c r="I16" s="6" t="s">
        <v>285</v>
      </c>
      <c r="J16" s="3">
        <v>1.338456562E-2</v>
      </c>
      <c r="K16" s="3">
        <v>4.5886965619999998E-2</v>
      </c>
      <c r="L16" s="7">
        <f t="shared" si="0"/>
        <v>9.5729704138275848E-2</v>
      </c>
      <c r="M16" s="3">
        <v>2.2916879999999997E-2</v>
      </c>
      <c r="N16" s="34">
        <v>4.780935310344827E-2</v>
      </c>
    </row>
    <row r="17" spans="1:14">
      <c r="A17" s="207"/>
      <c r="B17" s="6" t="s">
        <v>242</v>
      </c>
      <c r="C17" s="3">
        <v>7400</v>
      </c>
      <c r="D17" s="3">
        <v>0.79592099999999999</v>
      </c>
      <c r="E17" s="3">
        <v>1.4</v>
      </c>
      <c r="F17" s="3">
        <v>5.1570000000000001E-3</v>
      </c>
      <c r="G17" s="3">
        <v>0</v>
      </c>
      <c r="H17" s="3">
        <v>2.7271999999999999E-3</v>
      </c>
      <c r="I17" s="6" t="s">
        <v>286</v>
      </c>
      <c r="J17" s="3">
        <v>3.9184040000000003E-3</v>
      </c>
      <c r="K17" s="3">
        <v>1.1802604000000001E-2</v>
      </c>
      <c r="L17" s="7">
        <f t="shared" si="0"/>
        <v>1.5058494758620691E-2</v>
      </c>
      <c r="M17" s="3">
        <v>0.25071511499999999</v>
      </c>
      <c r="N17" s="34">
        <v>0.31987790534482757</v>
      </c>
    </row>
    <row r="18" spans="1:14">
      <c r="A18" s="207"/>
      <c r="B18" s="6" t="s">
        <v>243</v>
      </c>
      <c r="C18" s="3">
        <v>7000</v>
      </c>
      <c r="D18" s="3">
        <v>0.26412099999999999</v>
      </c>
      <c r="E18" s="3">
        <v>0.6</v>
      </c>
      <c r="F18" s="3">
        <v>1.5553699999999998E-2</v>
      </c>
      <c r="G18" s="3">
        <v>2.8788200000000003E-3</v>
      </c>
      <c r="H18" s="3">
        <v>1.4969759999999999E-3</v>
      </c>
      <c r="I18" s="6" t="s">
        <v>287</v>
      </c>
      <c r="J18" s="3">
        <v>2.2102367999999998E-3</v>
      </c>
      <c r="K18" s="3">
        <v>2.2139732799999999E-2</v>
      </c>
      <c r="L18" s="7">
        <f t="shared" si="0"/>
        <v>2.672036717241379E-2</v>
      </c>
      <c r="M18" s="3">
        <v>8.3198115000000003E-2</v>
      </c>
      <c r="N18" s="34">
        <v>0.10041151810344827</v>
      </c>
    </row>
    <row r="19" spans="1:14">
      <c r="A19" s="207"/>
      <c r="B19" s="6" t="s">
        <v>244</v>
      </c>
      <c r="C19" s="3">
        <v>6666</v>
      </c>
      <c r="D19" s="3">
        <v>2.052197</v>
      </c>
      <c r="E19" s="3">
        <v>20.399999999999999</v>
      </c>
      <c r="F19" s="3">
        <v>6.0058E-2</v>
      </c>
      <c r="G19" s="3">
        <v>7.4298999999999997E-3</v>
      </c>
      <c r="H19" s="3">
        <v>2.5774600000000002E-2</v>
      </c>
      <c r="I19" s="6" t="s">
        <v>288</v>
      </c>
      <c r="J19" s="3">
        <v>3.1054252000000001E-2</v>
      </c>
      <c r="K19" s="3">
        <v>0.124316752</v>
      </c>
      <c r="L19" s="7">
        <f t="shared" si="0"/>
        <v>0.14287852910896551</v>
      </c>
      <c r="M19" s="3">
        <v>0.64644205500000007</v>
      </c>
      <c r="N19" s="34">
        <v>0.74296254114310345</v>
      </c>
    </row>
    <row r="20" spans="1:14">
      <c r="A20" s="207"/>
      <c r="B20" s="6" t="s">
        <v>245</v>
      </c>
      <c r="C20" s="3">
        <v>6250</v>
      </c>
      <c r="D20" s="3">
        <v>3.5215999999999997E-2</v>
      </c>
      <c r="E20" s="3">
        <v>0.5</v>
      </c>
      <c r="F20" s="3">
        <v>1.14757E-2</v>
      </c>
      <c r="G20" s="3">
        <v>1.21214E-3</v>
      </c>
      <c r="H20" s="3">
        <v>7.8189200000000007E-4</v>
      </c>
      <c r="I20" s="6" t="s">
        <v>277</v>
      </c>
      <c r="J20" s="3">
        <v>8.499028800000001E-4</v>
      </c>
      <c r="K20" s="3">
        <v>1.4319634880000001E-2</v>
      </c>
      <c r="L20" s="7">
        <f t="shared" si="0"/>
        <v>1.5430641034482759E-2</v>
      </c>
      <c r="M20" s="3">
        <v>1.109304E-2</v>
      </c>
      <c r="N20" s="34">
        <v>1.1953706896551725E-2</v>
      </c>
    </row>
    <row r="21" spans="1:14">
      <c r="A21" s="207"/>
      <c r="B21" s="6" t="s">
        <v>246</v>
      </c>
      <c r="C21" s="3">
        <v>5920</v>
      </c>
      <c r="D21" s="3">
        <v>3.5852000000000002E-2</v>
      </c>
      <c r="E21" s="3">
        <v>2.6</v>
      </c>
      <c r="F21" s="3">
        <v>6.5980000000000006E-3</v>
      </c>
      <c r="G21" s="3">
        <v>6.6850000000000004E-4</v>
      </c>
      <c r="H21" s="3">
        <v>0</v>
      </c>
      <c r="I21" s="6" t="s">
        <v>289</v>
      </c>
      <c r="J21" s="3">
        <v>6.1261200000000001E-4</v>
      </c>
      <c r="K21" s="3">
        <v>7.8791120000000006E-3</v>
      </c>
      <c r="L21" s="7">
        <f t="shared" si="0"/>
        <v>8.0421281103448278E-3</v>
      </c>
      <c r="M21" s="3">
        <v>1.129338E-2</v>
      </c>
      <c r="N21" s="34">
        <v>1.1527036137931036E-2</v>
      </c>
    </row>
    <row r="22" spans="1:14">
      <c r="A22" s="207"/>
      <c r="B22" s="6" t="s">
        <v>247</v>
      </c>
      <c r="C22" s="3">
        <v>5800</v>
      </c>
      <c r="D22" s="3">
        <v>9.0455999999999995E-2</v>
      </c>
      <c r="E22" s="3">
        <v>0.3</v>
      </c>
      <c r="F22" s="3">
        <v>4.5979999999999997E-3</v>
      </c>
      <c r="G22" s="3">
        <v>5.4989999999999994E-5</v>
      </c>
      <c r="H22" s="3">
        <v>1.8145420000000002E-3</v>
      </c>
      <c r="I22" s="6" t="s">
        <v>289</v>
      </c>
      <c r="J22" s="3">
        <v>2.1726844000000004E-3</v>
      </c>
      <c r="K22" s="3">
        <v>8.640216400000001E-3</v>
      </c>
      <c r="L22" s="7">
        <f t="shared" si="0"/>
        <v>8.640216400000001E-3</v>
      </c>
      <c r="M22" s="3">
        <v>2.8493639999999997E-2</v>
      </c>
      <c r="N22" s="34">
        <v>2.8493639999999997E-2</v>
      </c>
    </row>
    <row r="23" spans="1:14">
      <c r="A23" s="207"/>
      <c r="B23" s="6" t="s">
        <v>248</v>
      </c>
      <c r="C23" s="3">
        <v>5418</v>
      </c>
      <c r="D23" s="3">
        <v>0.60355000000000003</v>
      </c>
      <c r="E23" s="3">
        <v>4.4000000000000004</v>
      </c>
      <c r="F23" s="3">
        <v>1.2629000000000001E-2</v>
      </c>
      <c r="G23" s="3">
        <v>3.47525E-3</v>
      </c>
      <c r="H23" s="3">
        <v>6.0913500000000006E-3</v>
      </c>
      <c r="I23" s="6" t="s">
        <v>289</v>
      </c>
      <c r="J23" s="3">
        <v>7.5239196000000006E-3</v>
      </c>
      <c r="K23" s="3">
        <v>2.9719519600000001E-2</v>
      </c>
      <c r="L23" s="7">
        <f t="shared" si="0"/>
        <v>2.7762130550482756E-2</v>
      </c>
      <c r="M23" s="3">
        <v>0.19011825000000004</v>
      </c>
      <c r="N23" s="34">
        <v>0.17759666870689658</v>
      </c>
    </row>
    <row r="24" spans="1:14">
      <c r="A24" s="207"/>
      <c r="B24" s="6" t="s">
        <v>249</v>
      </c>
      <c r="C24" s="3">
        <v>5100</v>
      </c>
      <c r="D24" s="3">
        <v>3.1633000000000001E-2</v>
      </c>
      <c r="E24" s="3">
        <v>1.8</v>
      </c>
      <c r="F24" s="3">
        <v>6.0829999999999999E-3</v>
      </c>
      <c r="G24" s="3">
        <v>1.2732399999999999E-3</v>
      </c>
      <c r="H24" s="3">
        <v>3.1364920000000003E-3</v>
      </c>
      <c r="I24" s="6" t="s">
        <v>285</v>
      </c>
      <c r="J24" s="3">
        <v>4.4390841856E-3</v>
      </c>
      <c r="K24" s="3">
        <v>1.4931816185599999E-2</v>
      </c>
      <c r="L24" s="7">
        <f t="shared" si="0"/>
        <v>1.3129700439062069E-2</v>
      </c>
      <c r="M24" s="3">
        <v>9.9643950000000009E-3</v>
      </c>
      <c r="N24" s="34">
        <v>8.7617956034482768E-3</v>
      </c>
    </row>
    <row r="25" spans="1:14">
      <c r="A25" s="207"/>
      <c r="B25" s="6" t="s">
        <v>250</v>
      </c>
      <c r="C25" s="3">
        <v>4900</v>
      </c>
      <c r="D25" s="3">
        <v>0.14399999999999999</v>
      </c>
      <c r="E25" s="3">
        <v>0.2</v>
      </c>
      <c r="F25" s="3">
        <v>5.3071000000000004E-3</v>
      </c>
      <c r="G25" s="3">
        <v>1.5706300000000002E-3</v>
      </c>
      <c r="H25" s="3">
        <v>6.3523400000000015E-4</v>
      </c>
      <c r="I25" s="21" t="s">
        <v>287</v>
      </c>
      <c r="J25" s="3">
        <v>9.6726920000000005E-4</v>
      </c>
      <c r="K25" s="3">
        <v>8.4802332000000012E-3</v>
      </c>
      <c r="L25" s="7">
        <f t="shared" si="0"/>
        <v>7.1643349448275873E-3</v>
      </c>
      <c r="M25" s="3">
        <v>4.5359999999999998E-2</v>
      </c>
      <c r="N25" s="34">
        <v>3.8321379310344822E-2</v>
      </c>
    </row>
    <row r="26" spans="1:14">
      <c r="A26" s="207"/>
      <c r="B26" s="6" t="s">
        <v>251</v>
      </c>
      <c r="C26" s="3">
        <v>4600</v>
      </c>
      <c r="D26" s="3">
        <v>1.4739E-2</v>
      </c>
      <c r="E26" s="3">
        <v>0.34</v>
      </c>
      <c r="F26" s="3">
        <v>7.6160000000000004E-3</v>
      </c>
      <c r="G26" s="3">
        <v>3.8327999999999995E-4</v>
      </c>
      <c r="H26" s="3">
        <v>3.4573000000000004E-4</v>
      </c>
      <c r="I26" s="6" t="s">
        <v>290</v>
      </c>
      <c r="J26" s="3">
        <v>4.2724679350000002E-4</v>
      </c>
      <c r="K26" s="3">
        <v>8.7722567935000009E-3</v>
      </c>
      <c r="L26" s="7">
        <f t="shared" si="0"/>
        <v>6.9573071120862069E-3</v>
      </c>
      <c r="M26" s="3">
        <v>4.642785E-3</v>
      </c>
      <c r="N26" s="34">
        <v>3.6822087931034485E-3</v>
      </c>
    </row>
    <row r="27" spans="1:14">
      <c r="A27" s="207"/>
      <c r="B27" s="6" t="s">
        <v>252</v>
      </c>
      <c r="C27" s="3">
        <v>3800</v>
      </c>
      <c r="D27" s="3">
        <v>6.0426000000000001E-2</v>
      </c>
      <c r="E27" s="3">
        <v>1.3</v>
      </c>
      <c r="F27" s="3">
        <v>4.8000000000000004E-3</v>
      </c>
      <c r="G27" s="3">
        <v>1.8439000000000001E-3</v>
      </c>
      <c r="H27" s="3">
        <v>2.5240200000000001E-3</v>
      </c>
      <c r="I27" s="6" t="s">
        <v>291</v>
      </c>
      <c r="J27" s="3">
        <v>3.6995747660000002E-3</v>
      </c>
      <c r="K27" s="3">
        <v>1.2867494766000001E-2</v>
      </c>
      <c r="L27" s="7">
        <f t="shared" si="0"/>
        <v>8.430427605310346E-3</v>
      </c>
      <c r="M27" s="3">
        <v>1.9034189999999999E-2</v>
      </c>
      <c r="N27" s="34">
        <v>1.247067620689655E-2</v>
      </c>
    </row>
    <row r="28" spans="1:14">
      <c r="A28" s="207"/>
      <c r="B28" s="6" t="s">
        <v>253</v>
      </c>
      <c r="C28" s="3">
        <v>3696</v>
      </c>
      <c r="D28" s="3">
        <v>2.5364000000000001E-2</v>
      </c>
      <c r="E28" s="3">
        <v>0.6</v>
      </c>
      <c r="F28" s="3">
        <v>1.1999999999999999E-3</v>
      </c>
      <c r="G28" s="3">
        <v>8.6715499999999999E-4</v>
      </c>
      <c r="H28" s="3">
        <v>6.7344900000000001E-4</v>
      </c>
      <c r="I28" s="6" t="s">
        <v>291</v>
      </c>
      <c r="J28" s="3">
        <v>1.0431872007000001E-3</v>
      </c>
      <c r="K28" s="3">
        <v>3.7837912006999999E-3</v>
      </c>
      <c r="L28" s="7">
        <f t="shared" si="0"/>
        <v>2.4111883237564139E-3</v>
      </c>
      <c r="M28" s="3">
        <v>7.9896599999999991E-3</v>
      </c>
      <c r="N28" s="34">
        <v>5.0913419586206899E-3</v>
      </c>
    </row>
    <row r="29" spans="1:14">
      <c r="A29" s="207"/>
      <c r="B29" s="6" t="s">
        <v>254</v>
      </c>
      <c r="C29" s="3">
        <v>3500</v>
      </c>
      <c r="D29" s="3">
        <v>6.6727999999999996E-2</v>
      </c>
      <c r="E29" s="3">
        <v>0.76</v>
      </c>
      <c r="F29" s="3">
        <v>2.2992000000000004E-3</v>
      </c>
      <c r="G29" s="3">
        <v>2.2055999999999999E-4</v>
      </c>
      <c r="H29" s="3">
        <v>9.0644000000000011E-4</v>
      </c>
      <c r="I29" s="6" t="s">
        <v>292</v>
      </c>
      <c r="J29" s="3">
        <v>1.2731212200000001E-3</v>
      </c>
      <c r="K29" s="3">
        <v>4.6993212200000002E-3</v>
      </c>
      <c r="L29" s="7">
        <f t="shared" si="0"/>
        <v>2.8357972879310351E-3</v>
      </c>
      <c r="M29" s="3">
        <v>2.1019319999999998E-2</v>
      </c>
      <c r="N29" s="34">
        <v>1.2684072413793102E-2</v>
      </c>
    </row>
    <row r="30" spans="1:14">
      <c r="A30" s="207"/>
      <c r="B30" s="6" t="s">
        <v>255</v>
      </c>
      <c r="C30" s="3">
        <v>3275</v>
      </c>
      <c r="D30" s="3">
        <v>0.107942</v>
      </c>
      <c r="E30" s="3">
        <v>2.4</v>
      </c>
      <c r="F30" s="3">
        <v>6.1979999999999995E-3</v>
      </c>
      <c r="G30" s="3">
        <v>3.82E-3</v>
      </c>
      <c r="H30" s="3">
        <v>2.8701E-3</v>
      </c>
      <c r="I30" s="6" t="s">
        <v>293</v>
      </c>
      <c r="J30" s="3">
        <v>3.5002007999999996E-3</v>
      </c>
      <c r="K30" s="3">
        <v>1.6388300799999998E-2</v>
      </c>
      <c r="L30" s="7">
        <f t="shared" si="0"/>
        <v>9.2537388137931016E-3</v>
      </c>
      <c r="M30" s="3">
        <v>3.4001730000000001E-2</v>
      </c>
      <c r="N30" s="34">
        <v>1.9199252715517243E-2</v>
      </c>
    </row>
    <row r="31" spans="1:14">
      <c r="A31" s="207"/>
      <c r="B31" s="6" t="s">
        <v>256</v>
      </c>
      <c r="C31" s="3">
        <v>3223</v>
      </c>
      <c r="D31" s="3">
        <v>0.52803299999999997</v>
      </c>
      <c r="E31" s="3">
        <v>21.7</v>
      </c>
      <c r="F31" s="3">
        <v>4.4831000000000003E-2</v>
      </c>
      <c r="G31" s="3">
        <v>4.9659999999999999E-3</v>
      </c>
      <c r="H31" s="3">
        <v>2.1733000000000002E-2</v>
      </c>
      <c r="I31" s="6" t="s">
        <v>294</v>
      </c>
      <c r="J31" s="3">
        <v>2.9698833399999999E-2</v>
      </c>
      <c r="K31" s="3">
        <v>0.1012288334</v>
      </c>
      <c r="L31" s="7">
        <f t="shared" si="0"/>
        <v>5.6251815525551724E-2</v>
      </c>
      <c r="M31" s="3">
        <v>0.16633039499999999</v>
      </c>
      <c r="N31" s="34">
        <v>9.242807984224137E-2</v>
      </c>
    </row>
    <row r="32" spans="1:14">
      <c r="A32" s="207"/>
      <c r="B32" s="6" t="s">
        <v>257</v>
      </c>
      <c r="C32" s="3">
        <v>3000</v>
      </c>
      <c r="D32" s="3">
        <v>2.7699999999999999E-2</v>
      </c>
      <c r="E32" s="3">
        <v>1.1000000000000001</v>
      </c>
      <c r="F32" s="3">
        <v>4.3010000000000001E-3</v>
      </c>
      <c r="G32" s="3">
        <v>1.4369399999999998E-3</v>
      </c>
      <c r="H32" s="3">
        <v>2.2926520000000001E-3</v>
      </c>
      <c r="I32" s="6" t="s">
        <v>285</v>
      </c>
      <c r="J32" s="3">
        <v>3.3290475436E-3</v>
      </c>
      <c r="K32" s="3">
        <v>1.13596395436E-2</v>
      </c>
      <c r="L32" s="7">
        <f t="shared" si="0"/>
        <v>5.8756756259999996E-3</v>
      </c>
      <c r="M32" s="3">
        <v>8.7254999999999989E-3</v>
      </c>
      <c r="N32" s="34">
        <v>4.5131896551724136E-3</v>
      </c>
    </row>
    <row r="33" spans="1:14">
      <c r="A33" s="207"/>
      <c r="B33" s="6" t="s">
        <v>258</v>
      </c>
      <c r="C33" s="3">
        <v>2956</v>
      </c>
      <c r="D33" s="3">
        <v>0.14440800000000001</v>
      </c>
      <c r="E33" s="3">
        <v>0.6</v>
      </c>
      <c r="F33" s="3">
        <v>1.3899499999999999E-2</v>
      </c>
      <c r="G33" s="3">
        <v>2.9683499999999998E-3</v>
      </c>
      <c r="H33" s="3">
        <v>9.3273E-4</v>
      </c>
      <c r="I33" s="6" t="s">
        <v>295</v>
      </c>
      <c r="J33" s="3">
        <v>1.3163496000000001E-3</v>
      </c>
      <c r="K33" s="3">
        <v>1.9116929599999999E-2</v>
      </c>
      <c r="L33" s="7">
        <f t="shared" si="0"/>
        <v>9.7430420513103452E-3</v>
      </c>
      <c r="M33" s="3">
        <v>4.5488519999999998E-2</v>
      </c>
      <c r="N33" s="34">
        <v>2.3183459503448273E-2</v>
      </c>
    </row>
    <row r="34" spans="1:14">
      <c r="A34" s="207"/>
      <c r="B34" s="6" t="s">
        <v>259</v>
      </c>
      <c r="C34" s="3">
        <v>2600</v>
      </c>
      <c r="D34" s="3">
        <v>8.4364999999999996E-2</v>
      </c>
      <c r="E34" s="3">
        <v>0.85599999999999998</v>
      </c>
      <c r="F34" s="3">
        <v>9.2233999999999979E-3</v>
      </c>
      <c r="G34" s="3">
        <v>3.056E-4</v>
      </c>
      <c r="H34" s="3">
        <v>8.3312800000000004E-4</v>
      </c>
      <c r="I34" s="6" t="s">
        <v>277</v>
      </c>
      <c r="J34" s="3">
        <v>8.6949592320000003E-4</v>
      </c>
      <c r="K34" s="3">
        <v>1.1231623923199999E-2</v>
      </c>
      <c r="L34" s="7">
        <f t="shared" si="0"/>
        <v>5.0348658966068958E-3</v>
      </c>
      <c r="M34" s="3">
        <v>2.6574974999999997E-2</v>
      </c>
      <c r="N34" s="34">
        <v>1.1912919827586205E-2</v>
      </c>
    </row>
    <row r="35" spans="1:14">
      <c r="A35" s="207"/>
      <c r="B35" s="6" t="s">
        <v>260</v>
      </c>
      <c r="C35" s="3">
        <v>2310</v>
      </c>
      <c r="D35" s="3">
        <v>2.0518999999999998</v>
      </c>
      <c r="E35" s="3">
        <v>25</v>
      </c>
      <c r="F35" s="3">
        <v>8.0350000000000005E-2</v>
      </c>
      <c r="G35" s="3">
        <v>1.0402999999999999E-2</v>
      </c>
      <c r="H35" s="3">
        <v>4.1528800000000005E-2</v>
      </c>
      <c r="I35" s="6" t="s">
        <v>296</v>
      </c>
      <c r="J35" s="3">
        <v>0.16338226541666667</v>
      </c>
      <c r="K35" s="3">
        <v>0.29566406541666668</v>
      </c>
      <c r="L35" s="7">
        <f t="shared" si="0"/>
        <v>0.11775586053663793</v>
      </c>
      <c r="M35" s="3">
        <v>0.64634849999999988</v>
      </c>
      <c r="N35" s="34">
        <v>0.25742500603448271</v>
      </c>
    </row>
    <row r="36" spans="1:14" ht="16.5" thickBot="1">
      <c r="A36" s="208"/>
      <c r="B36" s="14" t="s">
        <v>261</v>
      </c>
      <c r="C36" s="13">
        <v>2300</v>
      </c>
      <c r="D36" s="13">
        <v>0.37648799999999999</v>
      </c>
      <c r="E36" s="13">
        <v>5.5</v>
      </c>
      <c r="F36" s="13">
        <v>3.3279000000000003E-2</v>
      </c>
      <c r="G36" s="13">
        <v>9.0244000000000001E-3</v>
      </c>
      <c r="H36" s="13">
        <v>1.1250019999999999E-2</v>
      </c>
      <c r="I36" s="14" t="s">
        <v>295</v>
      </c>
      <c r="J36" s="13">
        <v>1.3433700999999999E-2</v>
      </c>
      <c r="K36" s="13">
        <v>6.6987120999999997E-2</v>
      </c>
      <c r="L36" s="32">
        <f t="shared" si="0"/>
        <v>2.6563858327586204E-2</v>
      </c>
      <c r="M36" s="13">
        <v>0.11859372</v>
      </c>
      <c r="N36" s="35">
        <v>4.7028544137931033E-2</v>
      </c>
    </row>
    <row r="37" spans="1:14">
      <c r="A37" s="242" t="s">
        <v>262</v>
      </c>
      <c r="B37" s="12" t="s">
        <v>263</v>
      </c>
      <c r="C37" s="11">
        <v>272000</v>
      </c>
      <c r="D37" s="11">
        <v>3.0511919550428868E-2</v>
      </c>
      <c r="E37">
        <v>4.5</v>
      </c>
      <c r="F37" s="11">
        <v>1.512E-2</v>
      </c>
      <c r="G37" s="11">
        <v>2.1384166666666668E-4</v>
      </c>
      <c r="H37" s="11">
        <v>4.0482722500000002E-3</v>
      </c>
      <c r="I37" s="11"/>
      <c r="J37" s="11">
        <v>5.6077960000000006E-4</v>
      </c>
      <c r="K37" s="11">
        <v>1.9942893516666668E-2</v>
      </c>
      <c r="L37" s="31">
        <f t="shared" si="0"/>
        <v>0.93525293733333326</v>
      </c>
      <c r="M37" s="11">
        <v>9.6112546583850943E-3</v>
      </c>
      <c r="N37" s="33">
        <v>0.45073470122081821</v>
      </c>
    </row>
    <row r="38" spans="1:14">
      <c r="A38" s="243"/>
      <c r="B38" s="6" t="s">
        <v>264</v>
      </c>
      <c r="C38" s="3">
        <v>155000</v>
      </c>
      <c r="D38" s="3">
        <v>3.088360548048048E-2</v>
      </c>
      <c r="E38">
        <v>4.5</v>
      </c>
      <c r="F38" s="3">
        <v>1.512E-2</v>
      </c>
      <c r="G38" s="3">
        <v>2.1384166666666668E-4</v>
      </c>
      <c r="H38" s="3">
        <v>4.0482722500000002E-3</v>
      </c>
      <c r="I38" s="3"/>
      <c r="J38" s="3">
        <v>5.6077960000000006E-4</v>
      </c>
      <c r="K38" s="3">
        <v>1.9942893516666668E-2</v>
      </c>
      <c r="L38" s="7">
        <f t="shared" si="0"/>
        <v>0.5329566370833333</v>
      </c>
      <c r="M38" s="3">
        <v>9.72833572635135E-3</v>
      </c>
      <c r="N38" s="34">
        <v>0.25998138579042401</v>
      </c>
    </row>
    <row r="39" spans="1:14">
      <c r="A39" s="243"/>
      <c r="B39" s="6" t="s">
        <v>265</v>
      </c>
      <c r="C39" s="3">
        <v>78000</v>
      </c>
      <c r="D39" s="3">
        <v>3.396356603773585E-2</v>
      </c>
      <c r="E39">
        <v>4.5</v>
      </c>
      <c r="F39" s="3">
        <v>1.512E-2</v>
      </c>
      <c r="G39" s="3">
        <v>2.1384166666666668E-4</v>
      </c>
      <c r="H39" s="3">
        <v>4.0482722500000002E-3</v>
      </c>
      <c r="I39" s="3"/>
      <c r="J39" s="3">
        <v>5.6077960000000006E-4</v>
      </c>
      <c r="K39" s="3">
        <v>1.9942893516666668E-2</v>
      </c>
      <c r="L39" s="7">
        <f t="shared" si="0"/>
        <v>0.26819753350000003</v>
      </c>
      <c r="M39" s="3">
        <v>1.0698523301886793E-2</v>
      </c>
      <c r="N39" s="34">
        <v>0.14387669268054654</v>
      </c>
    </row>
    <row r="40" spans="1:14">
      <c r="A40" s="243"/>
      <c r="B40" s="6" t="s">
        <v>266</v>
      </c>
      <c r="C40" s="3">
        <v>51650</v>
      </c>
      <c r="D40" s="3">
        <v>7.4142589599771838E-2</v>
      </c>
      <c r="E40">
        <v>2.4500000000000002</v>
      </c>
      <c r="F40" s="3">
        <v>6.3999999999999994E-3</v>
      </c>
      <c r="G40" s="3">
        <v>3.2900999999999998E-3</v>
      </c>
      <c r="H40" s="3">
        <v>3.0739500000000006E-3</v>
      </c>
      <c r="I40" s="3"/>
      <c r="J40" s="3">
        <v>1.9996900000000001E-4</v>
      </c>
      <c r="K40" s="3">
        <v>1.2964019E-2</v>
      </c>
      <c r="L40" s="7">
        <f t="shared" si="0"/>
        <v>0.11544682437068965</v>
      </c>
      <c r="M40" s="3">
        <v>2.3354915723928126E-2</v>
      </c>
      <c r="N40" s="34">
        <v>0.20797955123118755</v>
      </c>
    </row>
    <row r="41" spans="1:14">
      <c r="A41" s="243"/>
      <c r="B41" s="6" t="s">
        <v>267</v>
      </c>
      <c r="C41" s="3">
        <v>22550</v>
      </c>
      <c r="D41" s="3">
        <v>3.0826672240802676E-2</v>
      </c>
      <c r="E41">
        <v>6.8</v>
      </c>
      <c r="F41" s="3">
        <v>1.3803999999999999E-2</v>
      </c>
      <c r="G41" s="3">
        <v>3.3984166666666671E-4</v>
      </c>
      <c r="H41" s="3">
        <v>6.9497999999999999E-3</v>
      </c>
      <c r="I41" s="3"/>
      <c r="J41" s="3">
        <v>8.1561959999999995E-4</v>
      </c>
      <c r="K41" s="3">
        <v>2.1909261266666667E-2</v>
      </c>
      <c r="L41" s="7">
        <f t="shared" si="0"/>
        <v>8.5181696821264363E-2</v>
      </c>
      <c r="M41" s="3">
        <v>9.7104017558528426E-3</v>
      </c>
      <c r="N41" s="34">
        <v>3.7753372343876136E-2</v>
      </c>
    </row>
    <row r="42" spans="1:14">
      <c r="A42" s="243"/>
      <c r="B42" s="6" t="s">
        <v>268</v>
      </c>
      <c r="C42" s="3">
        <v>8000</v>
      </c>
      <c r="D42" s="3">
        <v>3.0826672240802676E-2</v>
      </c>
      <c r="E42">
        <v>4.5</v>
      </c>
      <c r="F42" s="3">
        <v>1.512E-2</v>
      </c>
      <c r="G42" s="3">
        <v>2.1384166666666668E-4</v>
      </c>
      <c r="H42" s="3">
        <v>4.0482722500000002E-3</v>
      </c>
      <c r="I42" s="3"/>
      <c r="J42" s="3">
        <v>5.6077960000000006E-4</v>
      </c>
      <c r="K42" s="3">
        <v>1.9942893516666668E-2</v>
      </c>
      <c r="L42" s="7">
        <f t="shared" si="0"/>
        <v>2.7507439333333335E-2</v>
      </c>
      <c r="M42" s="3">
        <v>9.7104017558528426E-3</v>
      </c>
      <c r="N42" s="34">
        <v>1.3393657594279783E-2</v>
      </c>
    </row>
    <row r="43" spans="1:14">
      <c r="A43" s="243"/>
      <c r="B43" s="6" t="s">
        <v>269</v>
      </c>
      <c r="C43" s="3">
        <v>7000</v>
      </c>
      <c r="D43" s="3">
        <v>9.0830909090909087E-2</v>
      </c>
      <c r="E43">
        <v>4.5</v>
      </c>
      <c r="F43" s="3">
        <v>1.9040000000000001E-2</v>
      </c>
      <c r="G43" s="3">
        <v>2.2724166666666668E-4</v>
      </c>
      <c r="H43" s="3">
        <v>3.1572722500000003E-3</v>
      </c>
      <c r="I43" s="3"/>
      <c r="J43" s="3">
        <v>2.6401011000000001E-4</v>
      </c>
      <c r="K43" s="3">
        <v>2.2688524026666667E-2</v>
      </c>
      <c r="L43" s="7">
        <f t="shared" si="0"/>
        <v>2.7382701411494251E-2</v>
      </c>
      <c r="M43" s="3">
        <v>2.8611736363636359E-2</v>
      </c>
      <c r="N43" s="34">
        <v>3.453140595611285E-2</v>
      </c>
    </row>
    <row r="44" spans="1:14">
      <c r="A44" s="243"/>
      <c r="B44" s="6" t="s">
        <v>270</v>
      </c>
      <c r="C44" s="3">
        <v>5200</v>
      </c>
      <c r="D44" s="3">
        <v>9.1153095238095228E-2</v>
      </c>
      <c r="E44">
        <v>4.5</v>
      </c>
      <c r="F44" s="3">
        <v>1.9040000000000001E-2</v>
      </c>
      <c r="G44" s="3">
        <v>2.2724166666666668E-4</v>
      </c>
      <c r="H44" s="3">
        <v>3.1572722500000003E-3</v>
      </c>
      <c r="I44" s="3"/>
      <c r="J44" s="3">
        <v>2.6401011000000001E-4</v>
      </c>
      <c r="K44" s="3">
        <v>2.2688524026666667E-2</v>
      </c>
      <c r="L44" s="7">
        <f t="shared" si="0"/>
        <v>2.0341435334252873E-2</v>
      </c>
      <c r="M44" s="3">
        <v>2.8713224999999995E-2</v>
      </c>
      <c r="N44" s="34">
        <v>2.574289137931034E-2</v>
      </c>
    </row>
    <row r="45" spans="1:14">
      <c r="A45" s="243"/>
      <c r="B45" s="6" t="s">
        <v>271</v>
      </c>
      <c r="C45" s="3">
        <v>500</v>
      </c>
      <c r="D45" s="3">
        <v>0.12857647058823529</v>
      </c>
      <c r="E45">
        <v>6.8</v>
      </c>
      <c r="F45" s="3">
        <v>1.3803999999999999E-2</v>
      </c>
      <c r="G45" s="3">
        <v>3.3984166666666671E-4</v>
      </c>
      <c r="H45" s="3">
        <v>6.9497999999999999E-3</v>
      </c>
      <c r="I45" s="3"/>
      <c r="J45" s="3">
        <v>8.1561959999999995E-4</v>
      </c>
      <c r="K45" s="3">
        <v>2.1909261266666667E-2</v>
      </c>
      <c r="L45" s="7">
        <f t="shared" si="0"/>
        <v>1.88872941954023E-3</v>
      </c>
      <c r="M45" s="3">
        <v>4.0501588235294116E-2</v>
      </c>
      <c r="N45" s="34">
        <v>3.4915162271805271E-3</v>
      </c>
    </row>
    <row r="46" spans="1:14">
      <c r="A46" s="243"/>
      <c r="B46" s="6" t="s">
        <v>272</v>
      </c>
      <c r="C46" s="3">
        <v>450</v>
      </c>
      <c r="D46" s="3">
        <v>0.22069805194805195</v>
      </c>
      <c r="E46">
        <v>4.5</v>
      </c>
      <c r="F46" s="3">
        <v>1.9040000000000001E-2</v>
      </c>
      <c r="G46" s="3">
        <v>2.2724166666666668E-4</v>
      </c>
      <c r="H46" s="3">
        <v>3.1572722500000003E-3</v>
      </c>
      <c r="I46" s="3"/>
      <c r="J46" s="3">
        <v>2.6401011000000001E-4</v>
      </c>
      <c r="K46" s="3">
        <v>2.2688524026666667E-2</v>
      </c>
      <c r="L46" s="7">
        <f t="shared" si="0"/>
        <v>1.7603165193103448E-3</v>
      </c>
      <c r="M46" s="3">
        <v>6.951988636363636E-2</v>
      </c>
      <c r="N46" s="34">
        <v>5.3937842868338557E-3</v>
      </c>
    </row>
    <row r="47" spans="1:14">
      <c r="A47" s="243"/>
      <c r="B47" s="6" t="s">
        <v>273</v>
      </c>
      <c r="C47" s="3">
        <v>450</v>
      </c>
      <c r="D47" s="3">
        <v>2.48469327176781E-2</v>
      </c>
      <c r="E47" s="3"/>
      <c r="F47" s="3">
        <v>3.0460000000000001E-2</v>
      </c>
      <c r="G47" s="3">
        <v>3.2841666666666668E-5</v>
      </c>
      <c r="H47" s="3">
        <v>2.26627225E-3</v>
      </c>
      <c r="I47" s="3"/>
      <c r="J47" s="3">
        <v>3.3917959999999999E-4</v>
      </c>
      <c r="K47" s="3">
        <v>3.3098293516666669E-2</v>
      </c>
      <c r="L47" s="7">
        <f t="shared" si="0"/>
        <v>2.5679710487068966E-3</v>
      </c>
      <c r="M47" s="3">
        <v>7.8267838060686011E-3</v>
      </c>
      <c r="N47" s="34">
        <v>6.0725046771221904E-4</v>
      </c>
    </row>
    <row r="48" spans="1:14" ht="16.5" thickBot="1">
      <c r="A48" s="244"/>
      <c r="B48" s="14" t="s">
        <v>274</v>
      </c>
      <c r="C48" s="13">
        <v>400</v>
      </c>
      <c r="D48" s="13">
        <v>9.0887451737451747E-2</v>
      </c>
      <c r="E48">
        <v>4.5</v>
      </c>
      <c r="F48" s="13">
        <v>1.9040000000000001E-2</v>
      </c>
      <c r="G48" s="13">
        <v>2.2724166666666668E-4</v>
      </c>
      <c r="H48" s="13">
        <v>3.1572722500000003E-3</v>
      </c>
      <c r="I48" s="13"/>
      <c r="J48" s="13">
        <v>2.6401011000000001E-4</v>
      </c>
      <c r="K48" s="13">
        <v>2.2688524026666667E-2</v>
      </c>
      <c r="L48" s="32">
        <f t="shared" si="0"/>
        <v>1.5647257949425286E-3</v>
      </c>
      <c r="M48" s="13">
        <v>2.8629547297297296E-2</v>
      </c>
      <c r="N48" s="35">
        <v>1.9744515377446412E-3</v>
      </c>
    </row>
    <row r="49" spans="1:14" ht="24" thickBot="1">
      <c r="A49" s="203" t="s">
        <v>41</v>
      </c>
      <c r="B49" s="205"/>
      <c r="C49" s="30">
        <f>SUM(C4:C48)</f>
        <v>1169736</v>
      </c>
      <c r="D49" s="76"/>
      <c r="E49" s="30">
        <f t="shared" ref="E49:N49" si="1">SUM(E4:E48)</f>
        <v>214.499</v>
      </c>
      <c r="F49" s="30">
        <f t="shared" si="1"/>
        <v>0.77546785000000029</v>
      </c>
      <c r="G49" s="30">
        <f t="shared" si="1"/>
        <v>0.15831459433333325</v>
      </c>
      <c r="H49" s="30">
        <f t="shared" si="1"/>
        <v>0.28403896225000003</v>
      </c>
      <c r="I49" s="76"/>
      <c r="J49" s="30">
        <f t="shared" si="1"/>
        <v>0.4113858417025667</v>
      </c>
      <c r="K49" s="30">
        <f t="shared" si="1"/>
        <v>1.6292072482859001</v>
      </c>
      <c r="L49" s="17">
        <f t="shared" si="1"/>
        <v>5.1074650449625238</v>
      </c>
      <c r="M49" s="30">
        <f t="shared" si="1"/>
        <v>3.0462345699881892</v>
      </c>
      <c r="N49" s="19">
        <f t="shared" si="1"/>
        <v>4.7491805431720602</v>
      </c>
    </row>
    <row r="50" spans="1:14">
      <c r="C50">
        <f>C49/5800</f>
        <v>201.67862068965516</v>
      </c>
    </row>
  </sheetData>
  <mergeCells count="13">
    <mergeCell ref="A49:B49"/>
    <mergeCell ref="M1:N1"/>
    <mergeCell ref="M2:N2"/>
    <mergeCell ref="P4:T12"/>
    <mergeCell ref="A1:B2"/>
    <mergeCell ref="C1:C2"/>
    <mergeCell ref="D1:D2"/>
    <mergeCell ref="A4:A36"/>
    <mergeCell ref="A37:A48"/>
    <mergeCell ref="E2:F2"/>
    <mergeCell ref="I2:J2"/>
    <mergeCell ref="K2:L2"/>
    <mergeCell ref="E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zoomScale="59" workbookViewId="0">
      <selection activeCell="N15" sqref="N15"/>
    </sheetView>
  </sheetViews>
  <sheetFormatPr baseColWidth="10" defaultRowHeight="15.75"/>
  <sheetData>
    <row r="1" spans="1:17" ht="63">
      <c r="A1" s="104" t="s">
        <v>317</v>
      </c>
      <c r="B1" s="104" t="s">
        <v>318</v>
      </c>
      <c r="C1" s="104" t="s">
        <v>319</v>
      </c>
      <c r="D1" s="104" t="s">
        <v>320</v>
      </c>
      <c r="E1" s="104" t="s">
        <v>321</v>
      </c>
      <c r="F1" s="104" t="s">
        <v>322</v>
      </c>
      <c r="G1" s="104" t="s">
        <v>323</v>
      </c>
      <c r="H1" s="104" t="s">
        <v>324</v>
      </c>
      <c r="I1" s="104" t="s">
        <v>325</v>
      </c>
      <c r="J1" s="104" t="s">
        <v>326</v>
      </c>
      <c r="K1" s="105" t="s">
        <v>327</v>
      </c>
      <c r="M1" s="20"/>
      <c r="N1" s="20" t="s">
        <v>344</v>
      </c>
      <c r="O1" s="20" t="s">
        <v>345</v>
      </c>
      <c r="P1" s="20" t="s">
        <v>346</v>
      </c>
      <c r="Q1" s="20" t="s">
        <v>347</v>
      </c>
    </row>
    <row r="2" spans="1:17">
      <c r="A2" s="20" t="s">
        <v>328</v>
      </c>
      <c r="B2" s="20">
        <v>40</v>
      </c>
      <c r="C2" s="20" t="s">
        <v>329</v>
      </c>
      <c r="D2" s="20" t="s">
        <v>330</v>
      </c>
      <c r="E2" s="20">
        <v>0.9</v>
      </c>
      <c r="F2" s="20">
        <v>9.9999999999999978E-2</v>
      </c>
      <c r="G2" s="20">
        <v>1</v>
      </c>
      <c r="H2" s="20">
        <v>1</v>
      </c>
      <c r="I2" s="20">
        <v>0.14899999999999999</v>
      </c>
      <c r="J2" s="20">
        <v>7.4499999999999997E-2</v>
      </c>
      <c r="K2" s="106">
        <f>(B2*E2*I2+B2*F2*J2)*2</f>
        <v>11.324</v>
      </c>
      <c r="M2" s="20" t="s">
        <v>328</v>
      </c>
      <c r="N2" s="20">
        <v>11</v>
      </c>
      <c r="O2" s="20">
        <v>31</v>
      </c>
      <c r="P2" s="20">
        <v>0.35483870967741937</v>
      </c>
      <c r="Q2" s="20">
        <v>11972.895</v>
      </c>
    </row>
    <row r="3" spans="1:17">
      <c r="A3" s="20" t="s">
        <v>328</v>
      </c>
      <c r="B3" s="20">
        <v>7</v>
      </c>
      <c r="C3" s="20" t="s">
        <v>329</v>
      </c>
      <c r="D3" s="20" t="s">
        <v>330</v>
      </c>
      <c r="E3" s="20">
        <v>0.5</v>
      </c>
      <c r="F3" s="20">
        <v>0.5</v>
      </c>
      <c r="G3" s="20">
        <v>0</v>
      </c>
      <c r="H3" s="20">
        <v>1</v>
      </c>
      <c r="I3" s="20">
        <v>0.14899999999999999</v>
      </c>
      <c r="J3" s="20">
        <v>7.4499999999999997E-2</v>
      </c>
      <c r="K3" s="106">
        <f t="shared" ref="K3:K47" si="0">(B3*E3*I3+B3*F3*J3)*2</f>
        <v>1.5644999999999998</v>
      </c>
      <c r="M3" s="20" t="s">
        <v>334</v>
      </c>
      <c r="N3" s="20">
        <v>20</v>
      </c>
      <c r="O3" s="20">
        <v>47</v>
      </c>
      <c r="P3" s="20">
        <v>0.42553191489361702</v>
      </c>
      <c r="Q3" s="20">
        <v>24685.9326</v>
      </c>
    </row>
    <row r="4" spans="1:17" ht="31.5">
      <c r="A4" s="20" t="s">
        <v>331</v>
      </c>
      <c r="B4" s="20">
        <v>25</v>
      </c>
      <c r="C4" s="20" t="s">
        <v>332</v>
      </c>
      <c r="D4" s="20" t="s">
        <v>330</v>
      </c>
      <c r="E4" s="20">
        <v>0.85</v>
      </c>
      <c r="F4" s="20">
        <v>0.15000000000000002</v>
      </c>
      <c r="G4" s="20">
        <v>0</v>
      </c>
      <c r="H4" s="20">
        <v>0</v>
      </c>
      <c r="I4" s="20">
        <v>9.5299999999999996E-2</v>
      </c>
      <c r="J4" s="20">
        <v>7.4499999999999997E-2</v>
      </c>
      <c r="K4" s="106">
        <f t="shared" si="0"/>
        <v>4.609</v>
      </c>
      <c r="M4" s="20" t="s">
        <v>348</v>
      </c>
      <c r="N4" s="20">
        <v>6</v>
      </c>
      <c r="O4" s="20">
        <v>9</v>
      </c>
      <c r="P4" s="20">
        <v>0.66666666666666663</v>
      </c>
      <c r="Q4" s="20">
        <v>798.07124999999985</v>
      </c>
    </row>
    <row r="5" spans="1:17">
      <c r="A5" s="20" t="s">
        <v>333</v>
      </c>
      <c r="B5" s="20">
        <v>17.5</v>
      </c>
      <c r="C5" s="20" t="s">
        <v>329</v>
      </c>
      <c r="D5" s="20"/>
      <c r="E5" s="20">
        <v>1</v>
      </c>
      <c r="F5" s="20">
        <v>0</v>
      </c>
      <c r="G5" s="20">
        <v>0</v>
      </c>
      <c r="H5" s="20">
        <v>1</v>
      </c>
      <c r="I5" s="20">
        <v>0.14899999999999999</v>
      </c>
      <c r="J5" s="20"/>
      <c r="K5" s="106">
        <f t="shared" si="0"/>
        <v>5.2149999999999999</v>
      </c>
      <c r="M5" s="20" t="s">
        <v>343</v>
      </c>
      <c r="N5" s="20">
        <v>4</v>
      </c>
      <c r="O5" s="20">
        <v>8</v>
      </c>
      <c r="P5" s="20">
        <v>0.5</v>
      </c>
      <c r="Q5" s="20">
        <v>211.47975000000002</v>
      </c>
    </row>
    <row r="6" spans="1:17" ht="31.5">
      <c r="A6" s="20" t="s">
        <v>334</v>
      </c>
      <c r="B6" s="20">
        <v>20</v>
      </c>
      <c r="C6" s="20" t="s">
        <v>329</v>
      </c>
      <c r="D6" s="20"/>
      <c r="E6" s="20">
        <v>1</v>
      </c>
      <c r="F6" s="20">
        <v>0</v>
      </c>
      <c r="G6" s="20">
        <v>0</v>
      </c>
      <c r="H6" s="20">
        <v>1</v>
      </c>
      <c r="I6" s="20">
        <v>0.14899999999999999</v>
      </c>
      <c r="J6" s="20"/>
      <c r="K6" s="106">
        <f t="shared" si="0"/>
        <v>5.96</v>
      </c>
      <c r="M6" s="20" t="s">
        <v>349</v>
      </c>
      <c r="N6" s="20">
        <v>2</v>
      </c>
      <c r="O6" s="20">
        <v>4</v>
      </c>
      <c r="P6" s="20">
        <v>0.5</v>
      </c>
      <c r="Q6" s="20">
        <v>9034.093499999999</v>
      </c>
    </row>
    <row r="7" spans="1:17">
      <c r="A7" s="20" t="s">
        <v>334</v>
      </c>
      <c r="B7" s="20">
        <v>35</v>
      </c>
      <c r="C7" s="20" t="s">
        <v>329</v>
      </c>
      <c r="D7" s="20"/>
      <c r="E7" s="20">
        <v>1</v>
      </c>
      <c r="F7" s="20">
        <v>0</v>
      </c>
      <c r="G7" s="20">
        <v>0</v>
      </c>
      <c r="H7" s="20">
        <v>0</v>
      </c>
      <c r="I7" s="20">
        <v>0.14899999999999999</v>
      </c>
      <c r="J7" s="20"/>
      <c r="K7" s="106">
        <f t="shared" si="0"/>
        <v>10.43</v>
      </c>
      <c r="M7" s="20" t="s">
        <v>350</v>
      </c>
      <c r="N7" s="20">
        <v>4</v>
      </c>
      <c r="O7" s="20">
        <v>6</v>
      </c>
      <c r="P7" s="20">
        <v>0.66666666666666663</v>
      </c>
      <c r="Q7" s="20">
        <v>887.08267499999999</v>
      </c>
    </row>
    <row r="8" spans="1:17">
      <c r="A8" s="20" t="s">
        <v>334</v>
      </c>
      <c r="B8" s="20">
        <v>30</v>
      </c>
      <c r="C8" s="20" t="s">
        <v>329</v>
      </c>
      <c r="D8" s="20"/>
      <c r="E8" s="20">
        <v>1</v>
      </c>
      <c r="F8" s="20">
        <v>0</v>
      </c>
      <c r="G8" s="20">
        <v>0</v>
      </c>
      <c r="H8" s="20">
        <v>1</v>
      </c>
      <c r="I8" s="20">
        <v>0.14899999999999999</v>
      </c>
      <c r="J8" s="20"/>
      <c r="K8" s="106">
        <f t="shared" si="0"/>
        <v>8.94</v>
      </c>
      <c r="M8" s="20"/>
      <c r="N8" s="20">
        <f>SUM(N2:N7)</f>
        <v>47</v>
      </c>
      <c r="O8" s="20">
        <f>SUM(O2:O7)</f>
        <v>105</v>
      </c>
      <c r="P8" s="20"/>
      <c r="Q8" s="105">
        <v>47589.554774999997</v>
      </c>
    </row>
    <row r="9" spans="1:17">
      <c r="A9" s="20" t="s">
        <v>335</v>
      </c>
      <c r="B9" s="20">
        <v>16.5</v>
      </c>
      <c r="C9" s="20" t="s">
        <v>329</v>
      </c>
      <c r="D9" s="20"/>
      <c r="E9" s="20">
        <v>1</v>
      </c>
      <c r="F9" s="20">
        <v>0</v>
      </c>
      <c r="G9" s="20">
        <v>0</v>
      </c>
      <c r="H9" s="20">
        <v>0</v>
      </c>
      <c r="I9" s="20">
        <v>0.14899999999999999</v>
      </c>
      <c r="J9" s="20"/>
      <c r="K9" s="106">
        <f t="shared" si="0"/>
        <v>4.9169999999999998</v>
      </c>
    </row>
    <row r="10" spans="1:17">
      <c r="A10" s="20" t="s">
        <v>335</v>
      </c>
      <c r="B10" s="20">
        <v>8</v>
      </c>
      <c r="C10" s="20" t="s">
        <v>336</v>
      </c>
      <c r="D10" s="20"/>
      <c r="E10" s="20">
        <v>1</v>
      </c>
      <c r="F10" s="20">
        <v>0</v>
      </c>
      <c r="G10" s="20">
        <v>1</v>
      </c>
      <c r="H10" s="20">
        <v>1</v>
      </c>
      <c r="I10" s="20">
        <v>1.0999999999999999E-2</v>
      </c>
      <c r="J10" s="20"/>
      <c r="K10" s="106">
        <f t="shared" si="0"/>
        <v>0.17599999999999999</v>
      </c>
    </row>
    <row r="11" spans="1:17">
      <c r="A11" s="20" t="s">
        <v>335</v>
      </c>
      <c r="B11" s="20">
        <v>25</v>
      </c>
      <c r="C11" s="20" t="s">
        <v>336</v>
      </c>
      <c r="D11" s="20" t="s">
        <v>330</v>
      </c>
      <c r="E11" s="20">
        <v>0.9</v>
      </c>
      <c r="F11" s="20">
        <v>9.9999999999999978E-2</v>
      </c>
      <c r="G11" s="20">
        <v>1</v>
      </c>
      <c r="H11" s="20">
        <v>1</v>
      </c>
      <c r="I11" s="20">
        <v>1.0999999999999999E-2</v>
      </c>
      <c r="J11" s="20">
        <v>7.4499999999999997E-2</v>
      </c>
      <c r="K11" s="106">
        <f t="shared" si="0"/>
        <v>0.86749999999999994</v>
      </c>
    </row>
    <row r="12" spans="1:17">
      <c r="A12" s="20" t="s">
        <v>335</v>
      </c>
      <c r="B12" s="20">
        <v>8</v>
      </c>
      <c r="C12" s="20" t="s">
        <v>336</v>
      </c>
      <c r="D12" s="20"/>
      <c r="E12" s="20">
        <v>1</v>
      </c>
      <c r="F12" s="20">
        <v>0</v>
      </c>
      <c r="G12" s="20">
        <v>1</v>
      </c>
      <c r="H12" s="20">
        <v>1</v>
      </c>
      <c r="I12" s="20">
        <v>1.0999999999999999E-2</v>
      </c>
      <c r="J12" s="20"/>
      <c r="K12" s="106">
        <f t="shared" si="0"/>
        <v>0.17599999999999999</v>
      </c>
    </row>
    <row r="13" spans="1:17">
      <c r="A13" s="20" t="s">
        <v>328</v>
      </c>
      <c r="B13" s="20">
        <v>5</v>
      </c>
      <c r="C13" s="20" t="s">
        <v>329</v>
      </c>
      <c r="D13" s="20" t="s">
        <v>330</v>
      </c>
      <c r="E13" s="20">
        <v>0.8</v>
      </c>
      <c r="F13" s="20">
        <v>0.19999999999999996</v>
      </c>
      <c r="G13" s="20">
        <v>0</v>
      </c>
      <c r="H13" s="20">
        <v>1</v>
      </c>
      <c r="I13" s="20">
        <v>0.14899999999999999</v>
      </c>
      <c r="J13" s="20">
        <v>7.4499999999999997E-2</v>
      </c>
      <c r="K13" s="106">
        <f t="shared" si="0"/>
        <v>1.341</v>
      </c>
    </row>
    <row r="14" spans="1:17">
      <c r="A14" s="20" t="s">
        <v>334</v>
      </c>
      <c r="B14" s="20">
        <v>18</v>
      </c>
      <c r="C14" s="20" t="s">
        <v>329</v>
      </c>
      <c r="D14" s="20" t="s">
        <v>330</v>
      </c>
      <c r="E14" s="20">
        <v>0.8</v>
      </c>
      <c r="F14" s="20">
        <v>0.19999999999999996</v>
      </c>
      <c r="G14" s="20">
        <v>0</v>
      </c>
      <c r="H14" s="20">
        <v>1</v>
      </c>
      <c r="I14" s="20">
        <v>0.14899999999999999</v>
      </c>
      <c r="J14" s="20">
        <v>7.4499999999999997E-2</v>
      </c>
      <c r="K14" s="106">
        <f t="shared" si="0"/>
        <v>4.8275999999999994</v>
      </c>
    </row>
    <row r="15" spans="1:17">
      <c r="A15" s="20" t="s">
        <v>328</v>
      </c>
      <c r="B15" s="20">
        <v>15</v>
      </c>
      <c r="C15" s="20" t="s">
        <v>329</v>
      </c>
      <c r="D15" s="20"/>
      <c r="E15" s="20">
        <v>1</v>
      </c>
      <c r="F15" s="20">
        <v>0</v>
      </c>
      <c r="G15" s="20">
        <v>1</v>
      </c>
      <c r="H15" s="20">
        <v>0</v>
      </c>
      <c r="I15" s="20">
        <v>0.14899999999999999</v>
      </c>
      <c r="J15" s="20"/>
      <c r="K15" s="106">
        <f t="shared" si="0"/>
        <v>4.47</v>
      </c>
    </row>
    <row r="16" spans="1:17">
      <c r="A16" s="20" t="s">
        <v>334</v>
      </c>
      <c r="B16" s="20">
        <v>20</v>
      </c>
      <c r="C16" s="20" t="s">
        <v>329</v>
      </c>
      <c r="D16" s="20"/>
      <c r="E16" s="20">
        <v>1</v>
      </c>
      <c r="F16" s="20">
        <v>0</v>
      </c>
      <c r="G16" s="20">
        <v>1</v>
      </c>
      <c r="H16" s="20">
        <v>1</v>
      </c>
      <c r="I16" s="20">
        <v>0.14899999999999999</v>
      </c>
      <c r="J16" s="20"/>
      <c r="K16" s="106">
        <f t="shared" si="0"/>
        <v>5.96</v>
      </c>
    </row>
    <row r="17" spans="1:11">
      <c r="A17" s="20" t="s">
        <v>337</v>
      </c>
      <c r="B17" s="20">
        <v>4</v>
      </c>
      <c r="C17" s="20" t="s">
        <v>329</v>
      </c>
      <c r="D17" s="20"/>
      <c r="E17" s="20">
        <v>1</v>
      </c>
      <c r="F17" s="20">
        <v>0</v>
      </c>
      <c r="G17" s="20">
        <v>0</v>
      </c>
      <c r="H17" s="20">
        <v>0</v>
      </c>
      <c r="I17" s="20">
        <v>0.14899999999999999</v>
      </c>
      <c r="J17" s="20"/>
      <c r="K17" s="106">
        <f t="shared" si="0"/>
        <v>1.1919999999999999</v>
      </c>
    </row>
    <row r="18" spans="1:11">
      <c r="A18" s="20" t="s">
        <v>328</v>
      </c>
      <c r="B18" s="20">
        <v>23</v>
      </c>
      <c r="C18" s="20" t="s">
        <v>329</v>
      </c>
      <c r="D18" s="20" t="s">
        <v>330</v>
      </c>
      <c r="E18" s="20">
        <v>0.8</v>
      </c>
      <c r="F18" s="20">
        <v>0.19999999999999996</v>
      </c>
      <c r="G18" s="20">
        <v>1</v>
      </c>
      <c r="H18" s="20">
        <v>0</v>
      </c>
      <c r="I18" s="20">
        <v>0.14899999999999999</v>
      </c>
      <c r="J18" s="20">
        <v>7.4499999999999997E-2</v>
      </c>
      <c r="K18" s="106">
        <f t="shared" si="0"/>
        <v>6.1685999999999996</v>
      </c>
    </row>
    <row r="19" spans="1:11">
      <c r="A19" s="20" t="s">
        <v>328</v>
      </c>
      <c r="B19" s="20">
        <v>12</v>
      </c>
      <c r="C19" s="20" t="s">
        <v>329</v>
      </c>
      <c r="D19" s="20"/>
      <c r="E19" s="20">
        <v>1</v>
      </c>
      <c r="F19" s="20">
        <v>0</v>
      </c>
      <c r="G19" s="20">
        <v>0</v>
      </c>
      <c r="H19" s="20">
        <v>0</v>
      </c>
      <c r="I19" s="20">
        <v>0.14899999999999999</v>
      </c>
      <c r="J19" s="20"/>
      <c r="K19" s="106">
        <f t="shared" si="0"/>
        <v>3.5759999999999996</v>
      </c>
    </row>
    <row r="20" spans="1:11">
      <c r="A20" s="20" t="s">
        <v>334</v>
      </c>
      <c r="B20" s="20">
        <v>1</v>
      </c>
      <c r="C20" s="20" t="s">
        <v>336</v>
      </c>
      <c r="D20" s="20"/>
      <c r="E20" s="20">
        <v>1</v>
      </c>
      <c r="F20" s="20">
        <v>0</v>
      </c>
      <c r="G20" s="20">
        <v>0</v>
      </c>
      <c r="H20" s="20">
        <v>1</v>
      </c>
      <c r="I20" s="20">
        <v>1.0999999999999999E-2</v>
      </c>
      <c r="J20" s="20"/>
      <c r="K20" s="106">
        <f t="shared" si="0"/>
        <v>2.1999999999999999E-2</v>
      </c>
    </row>
    <row r="21" spans="1:11">
      <c r="A21" s="20" t="s">
        <v>335</v>
      </c>
      <c r="B21" s="20">
        <v>9</v>
      </c>
      <c r="C21" s="20" t="s">
        <v>336</v>
      </c>
      <c r="D21" s="20"/>
      <c r="E21" s="20">
        <v>1</v>
      </c>
      <c r="F21" s="20">
        <v>0</v>
      </c>
      <c r="G21" s="20">
        <v>1</v>
      </c>
      <c r="H21" s="20">
        <v>1</v>
      </c>
      <c r="I21" s="20">
        <v>1.0999999999999999E-2</v>
      </c>
      <c r="J21" s="20"/>
      <c r="K21" s="106">
        <f t="shared" si="0"/>
        <v>0.19799999999999998</v>
      </c>
    </row>
    <row r="22" spans="1:11">
      <c r="A22" s="20" t="s">
        <v>338</v>
      </c>
      <c r="B22" s="20">
        <v>3</v>
      </c>
      <c r="C22" s="20" t="s">
        <v>329</v>
      </c>
      <c r="D22" s="20" t="s">
        <v>336</v>
      </c>
      <c r="E22" s="20">
        <v>0.2</v>
      </c>
      <c r="F22" s="20">
        <v>0.8</v>
      </c>
      <c r="G22" s="20">
        <v>0</v>
      </c>
      <c r="H22" s="20">
        <v>0</v>
      </c>
      <c r="I22" s="20">
        <v>0.14899999999999999</v>
      </c>
      <c r="J22" s="20">
        <v>1.0999999999999999E-2</v>
      </c>
      <c r="K22" s="106">
        <f t="shared" si="0"/>
        <v>0.23160000000000003</v>
      </c>
    </row>
    <row r="23" spans="1:11" ht="31.5">
      <c r="A23" s="20" t="s">
        <v>334</v>
      </c>
      <c r="B23" s="20">
        <v>11</v>
      </c>
      <c r="C23" s="20" t="s">
        <v>332</v>
      </c>
      <c r="D23" s="20" t="s">
        <v>336</v>
      </c>
      <c r="E23" s="20">
        <v>0.95</v>
      </c>
      <c r="F23" s="20">
        <v>5.0000000000000044E-2</v>
      </c>
      <c r="G23" s="20">
        <v>1</v>
      </c>
      <c r="H23" s="20">
        <v>1</v>
      </c>
      <c r="I23" s="20">
        <v>9.5299999999999996E-2</v>
      </c>
      <c r="J23" s="20">
        <v>1.0999999999999999E-2</v>
      </c>
      <c r="K23" s="106">
        <f t="shared" si="0"/>
        <v>2.00387</v>
      </c>
    </row>
    <row r="24" spans="1:11">
      <c r="A24" s="20" t="s">
        <v>334</v>
      </c>
      <c r="B24" s="20">
        <v>25</v>
      </c>
      <c r="C24" s="20" t="s">
        <v>329</v>
      </c>
      <c r="D24" s="20" t="s">
        <v>330</v>
      </c>
      <c r="E24" s="20">
        <v>0.95</v>
      </c>
      <c r="F24" s="20">
        <v>5.0000000000000044E-2</v>
      </c>
      <c r="G24" s="20">
        <v>0</v>
      </c>
      <c r="H24" s="20">
        <v>1</v>
      </c>
      <c r="I24" s="20">
        <v>0.14899999999999999</v>
      </c>
      <c r="J24" s="20">
        <v>7.4499999999999997E-2</v>
      </c>
      <c r="K24" s="106">
        <f t="shared" si="0"/>
        <v>7.2637499999999999</v>
      </c>
    </row>
    <row r="25" spans="1:11">
      <c r="A25" s="20" t="s">
        <v>328</v>
      </c>
      <c r="B25" s="20">
        <v>6</v>
      </c>
      <c r="C25" s="20" t="s">
        <v>339</v>
      </c>
      <c r="D25" s="20"/>
      <c r="E25" s="20">
        <v>1</v>
      </c>
      <c r="F25" s="20">
        <v>0</v>
      </c>
      <c r="G25" s="20">
        <v>0</v>
      </c>
      <c r="H25" s="20">
        <v>1</v>
      </c>
      <c r="I25" s="20">
        <v>0.01</v>
      </c>
      <c r="J25" s="20"/>
      <c r="K25" s="106">
        <f t="shared" si="0"/>
        <v>0.12</v>
      </c>
    </row>
    <row r="26" spans="1:11">
      <c r="A26" s="20" t="s">
        <v>334</v>
      </c>
      <c r="B26" s="20">
        <v>12</v>
      </c>
      <c r="C26" s="20" t="s">
        <v>329</v>
      </c>
      <c r="D26" s="20" t="s">
        <v>330</v>
      </c>
      <c r="E26" s="20">
        <v>0.9</v>
      </c>
      <c r="F26" s="20">
        <v>9.9999999999999978E-2</v>
      </c>
      <c r="G26" s="20">
        <v>0</v>
      </c>
      <c r="H26" s="20">
        <v>1</v>
      </c>
      <c r="I26" s="20">
        <v>0.14899999999999999</v>
      </c>
      <c r="J26" s="20">
        <v>7.4499999999999997E-2</v>
      </c>
      <c r="K26" s="106">
        <f t="shared" si="0"/>
        <v>3.3971999999999998</v>
      </c>
    </row>
    <row r="27" spans="1:11">
      <c r="A27" s="20" t="s">
        <v>334</v>
      </c>
      <c r="B27" s="20">
        <v>16</v>
      </c>
      <c r="C27" s="20" t="s">
        <v>329</v>
      </c>
      <c r="D27" s="20"/>
      <c r="E27" s="20">
        <v>1</v>
      </c>
      <c r="F27" s="20">
        <v>0</v>
      </c>
      <c r="G27" s="20">
        <v>1</v>
      </c>
      <c r="H27" s="20">
        <v>1</v>
      </c>
      <c r="I27" s="20">
        <v>0.14899999999999999</v>
      </c>
      <c r="J27" s="20"/>
      <c r="K27" s="106">
        <f t="shared" si="0"/>
        <v>4.7679999999999998</v>
      </c>
    </row>
    <row r="28" spans="1:11">
      <c r="A28" s="20" t="s">
        <v>340</v>
      </c>
      <c r="B28" s="20">
        <v>24</v>
      </c>
      <c r="C28" s="20" t="s">
        <v>329</v>
      </c>
      <c r="D28" s="20"/>
      <c r="E28" s="20">
        <v>1</v>
      </c>
      <c r="F28" s="20">
        <v>0</v>
      </c>
      <c r="G28" s="20">
        <v>1</v>
      </c>
      <c r="H28" s="20">
        <v>1</v>
      </c>
      <c r="I28" s="20">
        <v>0.14899999999999999</v>
      </c>
      <c r="J28" s="20"/>
      <c r="K28" s="106">
        <f t="shared" si="0"/>
        <v>7.1519999999999992</v>
      </c>
    </row>
    <row r="29" spans="1:11">
      <c r="A29" s="20" t="s">
        <v>337</v>
      </c>
      <c r="B29" s="20">
        <v>5</v>
      </c>
      <c r="C29" s="20" t="s">
        <v>329</v>
      </c>
      <c r="D29" s="20" t="s">
        <v>330</v>
      </c>
      <c r="E29" s="20">
        <v>0.66</v>
      </c>
      <c r="F29" s="20">
        <v>0.33999999999999997</v>
      </c>
      <c r="G29" s="20">
        <v>1</v>
      </c>
      <c r="H29" s="20">
        <v>1</v>
      </c>
      <c r="I29" s="20">
        <v>0.14899999999999999</v>
      </c>
      <c r="J29" s="20">
        <v>7.4499999999999997E-2</v>
      </c>
      <c r="K29" s="106">
        <f t="shared" si="0"/>
        <v>1.2366999999999999</v>
      </c>
    </row>
    <row r="30" spans="1:11">
      <c r="A30" s="20" t="s">
        <v>328</v>
      </c>
      <c r="B30" s="20">
        <v>5</v>
      </c>
      <c r="C30" s="20" t="s">
        <v>329</v>
      </c>
      <c r="D30" s="20" t="s">
        <v>330</v>
      </c>
      <c r="E30" s="20">
        <v>0.9</v>
      </c>
      <c r="F30" s="20">
        <v>9.9999999999999978E-2</v>
      </c>
      <c r="G30" s="20">
        <v>1</v>
      </c>
      <c r="H30" s="20">
        <v>1</v>
      </c>
      <c r="I30" s="20">
        <v>0.14899999999999999</v>
      </c>
      <c r="J30" s="20">
        <v>7.4499999999999997E-2</v>
      </c>
      <c r="K30" s="106">
        <f t="shared" si="0"/>
        <v>1.4155</v>
      </c>
    </row>
    <row r="31" spans="1:11">
      <c r="A31" s="20" t="s">
        <v>335</v>
      </c>
      <c r="B31" s="20">
        <v>2.5</v>
      </c>
      <c r="C31" s="20" t="s">
        <v>329</v>
      </c>
      <c r="D31" s="20" t="s">
        <v>336</v>
      </c>
      <c r="E31" s="20">
        <v>0.9</v>
      </c>
      <c r="F31" s="20">
        <v>9.9999999999999978E-2</v>
      </c>
      <c r="G31" s="20">
        <v>0</v>
      </c>
      <c r="H31" s="20">
        <v>0</v>
      </c>
      <c r="I31" s="20">
        <v>0.14899999999999999</v>
      </c>
      <c r="J31" s="20">
        <v>1.0999999999999999E-2</v>
      </c>
      <c r="K31" s="106">
        <f t="shared" si="0"/>
        <v>0.67599999999999993</v>
      </c>
    </row>
    <row r="32" spans="1:11">
      <c r="A32" s="20" t="s">
        <v>334</v>
      </c>
      <c r="B32" s="20">
        <v>13</v>
      </c>
      <c r="C32" s="20" t="s">
        <v>329</v>
      </c>
      <c r="D32" s="20" t="s">
        <v>330</v>
      </c>
      <c r="E32" s="20">
        <v>0.95</v>
      </c>
      <c r="F32" s="20">
        <v>5.0000000000000044E-2</v>
      </c>
      <c r="G32" s="20">
        <v>0</v>
      </c>
      <c r="H32" s="20">
        <v>1</v>
      </c>
      <c r="I32" s="20">
        <v>0.14899999999999999</v>
      </c>
      <c r="J32" s="20">
        <v>7.4499999999999997E-2</v>
      </c>
      <c r="K32" s="106">
        <f t="shared" si="0"/>
        <v>3.7771499999999998</v>
      </c>
    </row>
    <row r="33" spans="1:11">
      <c r="A33" s="20" t="s">
        <v>334</v>
      </c>
      <c r="B33" s="20">
        <v>1</v>
      </c>
      <c r="C33" s="20" t="s">
        <v>329</v>
      </c>
      <c r="D33" s="20" t="s">
        <v>336</v>
      </c>
      <c r="E33" s="20">
        <v>0.25</v>
      </c>
      <c r="F33" s="20">
        <v>0.75</v>
      </c>
      <c r="G33" s="20">
        <v>0</v>
      </c>
      <c r="H33" s="20">
        <v>1</v>
      </c>
      <c r="I33" s="20">
        <v>0.14899999999999999</v>
      </c>
      <c r="J33" s="20">
        <v>1.0999999999999999E-2</v>
      </c>
      <c r="K33" s="106">
        <f t="shared" si="0"/>
        <v>9.0999999999999998E-2</v>
      </c>
    </row>
    <row r="34" spans="1:11">
      <c r="A34" s="20" t="s">
        <v>341</v>
      </c>
      <c r="B34" s="20">
        <v>25</v>
      </c>
      <c r="C34" s="20" t="s">
        <v>329</v>
      </c>
      <c r="D34" s="20" t="s">
        <v>330</v>
      </c>
      <c r="E34" s="20">
        <v>0.5</v>
      </c>
      <c r="F34" s="20">
        <v>0.5</v>
      </c>
      <c r="G34" s="20">
        <v>0</v>
      </c>
      <c r="H34" s="20">
        <v>1</v>
      </c>
      <c r="I34" s="20">
        <v>0.14899999999999999</v>
      </c>
      <c r="J34" s="20">
        <v>7.4499999999999997E-2</v>
      </c>
      <c r="K34" s="106">
        <f t="shared" si="0"/>
        <v>5.5874999999999995</v>
      </c>
    </row>
    <row r="35" spans="1:11">
      <c r="A35" s="20" t="s">
        <v>334</v>
      </c>
      <c r="B35" s="20">
        <v>27</v>
      </c>
      <c r="C35" s="20" t="s">
        <v>329</v>
      </c>
      <c r="D35" s="20" t="s">
        <v>330</v>
      </c>
      <c r="E35" s="20">
        <v>0.4</v>
      </c>
      <c r="F35" s="20">
        <v>0.6</v>
      </c>
      <c r="G35" s="20">
        <v>0</v>
      </c>
      <c r="H35" s="20">
        <v>1</v>
      </c>
      <c r="I35" s="20">
        <v>0.14899999999999999</v>
      </c>
      <c r="J35" s="20">
        <v>7.4499999999999997E-2</v>
      </c>
      <c r="K35" s="106">
        <f t="shared" si="0"/>
        <v>5.6321999999999992</v>
      </c>
    </row>
    <row r="36" spans="1:11">
      <c r="A36" s="20" t="s">
        <v>338</v>
      </c>
      <c r="B36" s="20">
        <v>0</v>
      </c>
      <c r="C36" s="20" t="s">
        <v>342</v>
      </c>
      <c r="D36" s="20"/>
      <c r="E36" s="20">
        <v>1</v>
      </c>
      <c r="F36" s="20">
        <v>0</v>
      </c>
      <c r="G36" s="20">
        <v>1</v>
      </c>
      <c r="H36" s="20">
        <v>1</v>
      </c>
      <c r="I36" s="20">
        <v>0</v>
      </c>
      <c r="J36" s="20"/>
      <c r="K36" s="106">
        <f t="shared" si="0"/>
        <v>0</v>
      </c>
    </row>
    <row r="37" spans="1:11">
      <c r="A37" s="20" t="s">
        <v>343</v>
      </c>
      <c r="B37" s="20">
        <v>0</v>
      </c>
      <c r="C37" s="20" t="s">
        <v>342</v>
      </c>
      <c r="D37" s="20"/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/>
      <c r="K37" s="106">
        <f t="shared" si="0"/>
        <v>0</v>
      </c>
    </row>
    <row r="38" spans="1:11" ht="31.5">
      <c r="A38" s="20" t="s">
        <v>338</v>
      </c>
      <c r="B38" s="20">
        <v>37.5</v>
      </c>
      <c r="C38" s="20" t="s">
        <v>332</v>
      </c>
      <c r="D38" s="20"/>
      <c r="E38" s="20">
        <v>1</v>
      </c>
      <c r="F38" s="20">
        <v>0</v>
      </c>
      <c r="G38" s="20">
        <v>0</v>
      </c>
      <c r="H38" s="20">
        <v>1</v>
      </c>
      <c r="I38" s="20">
        <v>9.5299999999999996E-2</v>
      </c>
      <c r="J38" s="20"/>
      <c r="K38" s="106">
        <f t="shared" si="0"/>
        <v>7.1475</v>
      </c>
    </row>
    <row r="39" spans="1:11">
      <c r="A39" s="20" t="s">
        <v>328</v>
      </c>
      <c r="B39" s="20">
        <v>13</v>
      </c>
      <c r="C39" s="20" t="s">
        <v>329</v>
      </c>
      <c r="D39" s="20"/>
      <c r="E39" s="20">
        <v>1</v>
      </c>
      <c r="F39" s="20">
        <v>0</v>
      </c>
      <c r="G39" s="20">
        <v>0</v>
      </c>
      <c r="H39" s="20">
        <v>0</v>
      </c>
      <c r="I39" s="20">
        <v>0.14899999999999999</v>
      </c>
      <c r="J39" s="20"/>
      <c r="K39" s="106">
        <f t="shared" si="0"/>
        <v>3.8739999999999997</v>
      </c>
    </row>
    <row r="40" spans="1:11">
      <c r="A40" s="20" t="s">
        <v>334</v>
      </c>
      <c r="B40" s="20">
        <v>25</v>
      </c>
      <c r="C40" s="20" t="s">
        <v>329</v>
      </c>
      <c r="D40" s="20" t="s">
        <v>330</v>
      </c>
      <c r="E40" s="20">
        <v>0.5</v>
      </c>
      <c r="F40" s="20">
        <v>0.5</v>
      </c>
      <c r="G40" s="20">
        <v>1</v>
      </c>
      <c r="H40" s="20">
        <v>1</v>
      </c>
      <c r="I40" s="20">
        <v>0.14899999999999999</v>
      </c>
      <c r="J40" s="20">
        <v>7.4499999999999997E-2</v>
      </c>
      <c r="K40" s="106">
        <f t="shared" si="0"/>
        <v>5.5874999999999995</v>
      </c>
    </row>
    <row r="41" spans="1:11">
      <c r="A41" s="20" t="s">
        <v>334</v>
      </c>
      <c r="B41" s="20">
        <v>25</v>
      </c>
      <c r="C41" s="20" t="s">
        <v>329</v>
      </c>
      <c r="D41" s="20" t="s">
        <v>330</v>
      </c>
      <c r="E41" s="20">
        <v>0.9</v>
      </c>
      <c r="F41" s="20">
        <v>9.9999999999999978E-2</v>
      </c>
      <c r="G41" s="20">
        <v>0</v>
      </c>
      <c r="H41" s="20">
        <v>0</v>
      </c>
      <c r="I41" s="20">
        <v>0.14899999999999999</v>
      </c>
      <c r="J41" s="20">
        <v>7.4499999999999997E-2</v>
      </c>
      <c r="K41" s="106">
        <f t="shared" si="0"/>
        <v>7.0774999999999997</v>
      </c>
    </row>
    <row r="42" spans="1:11">
      <c r="A42" s="20" t="s">
        <v>334</v>
      </c>
      <c r="B42" s="20">
        <v>15</v>
      </c>
      <c r="C42" s="20" t="s">
        <v>329</v>
      </c>
      <c r="D42" s="20" t="s">
        <v>330</v>
      </c>
      <c r="E42" s="20">
        <v>0.95</v>
      </c>
      <c r="F42" s="20">
        <v>5.0000000000000044E-2</v>
      </c>
      <c r="G42" s="20">
        <v>0</v>
      </c>
      <c r="H42" s="20">
        <v>0</v>
      </c>
      <c r="I42" s="20">
        <v>0.14899999999999999</v>
      </c>
      <c r="J42" s="20">
        <v>7.4499999999999997E-2</v>
      </c>
      <c r="K42" s="106">
        <f t="shared" si="0"/>
        <v>4.35825</v>
      </c>
    </row>
    <row r="43" spans="1:11">
      <c r="A43" s="20" t="s">
        <v>334</v>
      </c>
      <c r="B43" s="20">
        <v>10</v>
      </c>
      <c r="C43" s="20" t="s">
        <v>329</v>
      </c>
      <c r="D43" s="20"/>
      <c r="E43" s="20">
        <v>1</v>
      </c>
      <c r="F43" s="20">
        <v>0</v>
      </c>
      <c r="G43" s="20">
        <v>0</v>
      </c>
      <c r="H43" s="20">
        <v>0</v>
      </c>
      <c r="I43" s="20">
        <v>0.14899999999999999</v>
      </c>
      <c r="J43" s="20"/>
      <c r="K43" s="106">
        <f t="shared" si="0"/>
        <v>2.98</v>
      </c>
    </row>
    <row r="44" spans="1:11">
      <c r="A44" s="20" t="s">
        <v>328</v>
      </c>
      <c r="B44" s="20">
        <v>11</v>
      </c>
      <c r="C44" s="20" t="s">
        <v>329</v>
      </c>
      <c r="D44" s="20"/>
      <c r="E44" s="20">
        <v>1</v>
      </c>
      <c r="F44" s="20">
        <v>0</v>
      </c>
      <c r="G44" s="20">
        <v>0</v>
      </c>
      <c r="H44" s="20">
        <v>0</v>
      </c>
      <c r="I44" s="20">
        <v>0.14899999999999999</v>
      </c>
      <c r="J44" s="20"/>
      <c r="K44" s="106">
        <f t="shared" si="0"/>
        <v>3.278</v>
      </c>
    </row>
    <row r="45" spans="1:11">
      <c r="A45" s="20" t="s">
        <v>334</v>
      </c>
      <c r="B45" s="20">
        <v>67</v>
      </c>
      <c r="C45" s="20" t="s">
        <v>329</v>
      </c>
      <c r="D45" s="20" t="s">
        <v>330</v>
      </c>
      <c r="E45" s="20">
        <v>0.9</v>
      </c>
      <c r="F45" s="20">
        <v>9.9999999999999978E-2</v>
      </c>
      <c r="G45" s="20">
        <v>1</v>
      </c>
      <c r="H45" s="20">
        <v>1</v>
      </c>
      <c r="I45" s="20">
        <v>0.14899999999999999</v>
      </c>
      <c r="J45" s="20">
        <v>7.4499999999999997E-2</v>
      </c>
      <c r="K45" s="106">
        <f t="shared" si="0"/>
        <v>18.967700000000001</v>
      </c>
    </row>
    <row r="46" spans="1:11">
      <c r="A46" s="20" t="s">
        <v>334</v>
      </c>
      <c r="B46" s="20">
        <v>18</v>
      </c>
      <c r="C46" s="20" t="s">
        <v>329</v>
      </c>
      <c r="D46" s="20" t="s">
        <v>330</v>
      </c>
      <c r="E46" s="20">
        <v>0.8</v>
      </c>
      <c r="F46" s="20">
        <v>0.19999999999999996</v>
      </c>
      <c r="G46" s="20">
        <v>0</v>
      </c>
      <c r="H46" s="20">
        <v>1</v>
      </c>
      <c r="I46" s="20">
        <v>0.14899999999999999</v>
      </c>
      <c r="J46" s="20">
        <v>7.4499999999999997E-2</v>
      </c>
      <c r="K46" s="106">
        <f t="shared" si="0"/>
        <v>4.8275999999999994</v>
      </c>
    </row>
    <row r="47" spans="1:11">
      <c r="A47" s="20" t="s">
        <v>328</v>
      </c>
      <c r="B47" s="20">
        <v>5</v>
      </c>
      <c r="C47" s="20" t="s">
        <v>329</v>
      </c>
      <c r="D47" s="20"/>
      <c r="E47" s="20">
        <v>1</v>
      </c>
      <c r="F47" s="20">
        <v>0</v>
      </c>
      <c r="G47" s="20">
        <v>1</v>
      </c>
      <c r="H47" s="20">
        <v>1</v>
      </c>
      <c r="I47" s="20">
        <v>0.14899999999999999</v>
      </c>
      <c r="J47" s="20"/>
      <c r="K47" s="106">
        <f t="shared" si="0"/>
        <v>1.49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H13" sqref="H13"/>
    </sheetView>
  </sheetViews>
  <sheetFormatPr baseColWidth="10" defaultRowHeight="15.75"/>
  <cols>
    <col min="1" max="1" width="37.625" customWidth="1"/>
    <col min="2" max="2" width="12" customWidth="1"/>
    <col min="3" max="3" width="14.5" customWidth="1"/>
    <col min="4" max="4" width="11.625" bestFit="1" customWidth="1"/>
  </cols>
  <sheetData>
    <row r="1" spans="1:4" ht="26.1" customHeight="1">
      <c r="A1" s="249" t="s">
        <v>304</v>
      </c>
      <c r="B1" s="250"/>
      <c r="C1" s="250"/>
      <c r="D1" s="251"/>
    </row>
    <row r="2" spans="1:4">
      <c r="A2" s="100" t="s">
        <v>300</v>
      </c>
      <c r="B2" s="77">
        <v>1219.99</v>
      </c>
      <c r="C2" s="245"/>
      <c r="D2" s="246"/>
    </row>
    <row r="3" spans="1:4">
      <c r="A3" s="101" t="s">
        <v>301</v>
      </c>
      <c r="B3" s="77">
        <v>203</v>
      </c>
      <c r="C3" s="245"/>
      <c r="D3" s="246"/>
    </row>
    <row r="4" spans="1:4">
      <c r="A4" s="102" t="s">
        <v>308</v>
      </c>
      <c r="B4" s="81">
        <f>B2+B3</f>
        <v>1422.99</v>
      </c>
      <c r="C4" s="245"/>
      <c r="D4" s="246"/>
    </row>
    <row r="5" spans="1:4" ht="16.5" thickBot="1">
      <c r="A5" s="103" t="s">
        <v>316</v>
      </c>
      <c r="B5" s="85">
        <v>76611</v>
      </c>
      <c r="C5" s="247"/>
      <c r="D5" s="248"/>
    </row>
    <row r="6" spans="1:4" ht="31.5">
      <c r="A6" s="94" t="s">
        <v>134</v>
      </c>
      <c r="B6" s="95" t="s">
        <v>305</v>
      </c>
      <c r="C6" s="95" t="s">
        <v>306</v>
      </c>
      <c r="D6" s="96" t="s">
        <v>307</v>
      </c>
    </row>
    <row r="7" spans="1:4">
      <c r="A7" s="82" t="s">
        <v>302</v>
      </c>
      <c r="B7" s="79">
        <v>353935.72256007598</v>
      </c>
      <c r="C7" s="79">
        <v>210661.06580517199</v>
      </c>
      <c r="D7" s="83">
        <v>1594.5655150043729</v>
      </c>
    </row>
    <row r="8" spans="1:4">
      <c r="A8" s="82" t="s">
        <v>303</v>
      </c>
      <c r="B8" s="79">
        <v>58893.066074062473</v>
      </c>
      <c r="C8" s="79">
        <v>35052.907284854657</v>
      </c>
      <c r="D8" s="83">
        <v>265.32742034433699</v>
      </c>
    </row>
    <row r="9" spans="1:4">
      <c r="A9" s="86" t="s">
        <v>313</v>
      </c>
      <c r="B9" s="80">
        <f>B7+B8</f>
        <v>412828.78863413847</v>
      </c>
      <c r="C9" s="80">
        <f>C7+C8</f>
        <v>245713.97309002664</v>
      </c>
      <c r="D9" s="87">
        <f>D7+D8</f>
        <v>1859.8929353487099</v>
      </c>
    </row>
    <row r="10" spans="1:4" ht="16.5" thickBot="1">
      <c r="A10" s="88" t="s">
        <v>314</v>
      </c>
      <c r="B10" s="89">
        <f>B9/5800</f>
        <v>71.177377350713527</v>
      </c>
      <c r="C10" s="89">
        <f t="shared" ref="C10" si="0">C9/5800</f>
        <v>42.364478118970112</v>
      </c>
      <c r="D10" s="90">
        <f>D9/5800</f>
        <v>0.32067119574977759</v>
      </c>
    </row>
    <row r="11" spans="1:4" ht="31.5">
      <c r="A11" s="97" t="s">
        <v>142</v>
      </c>
      <c r="B11" s="98" t="s">
        <v>309</v>
      </c>
      <c r="C11" s="98" t="s">
        <v>310</v>
      </c>
      <c r="D11" s="99" t="s">
        <v>311</v>
      </c>
    </row>
    <row r="12" spans="1:4">
      <c r="A12" s="82" t="s">
        <v>302</v>
      </c>
      <c r="B12" s="79">
        <v>75388.308905296231</v>
      </c>
      <c r="C12" s="79">
        <v>10954.375421868923</v>
      </c>
      <c r="D12" s="83">
        <v>628.25881291172288</v>
      </c>
    </row>
    <row r="13" spans="1:4">
      <c r="A13" s="82" t="s">
        <v>303</v>
      </c>
      <c r="B13" s="79">
        <v>12544.223073775307</v>
      </c>
      <c r="C13" s="79">
        <v>1822.751178812442</v>
      </c>
      <c r="D13" s="83">
        <v>104.53900361566878</v>
      </c>
    </row>
    <row r="14" spans="1:4">
      <c r="A14" s="86" t="s">
        <v>315</v>
      </c>
      <c r="B14" s="78">
        <f>B12+B13</f>
        <v>87932.531979071544</v>
      </c>
      <c r="C14" s="78">
        <f>C12+C13</f>
        <v>12777.126600681364</v>
      </c>
      <c r="D14" s="91">
        <f>D12+D13</f>
        <v>732.79781652739166</v>
      </c>
    </row>
    <row r="15" spans="1:4" ht="32.25" thickBot="1">
      <c r="A15" s="84" t="s">
        <v>312</v>
      </c>
      <c r="B15" s="92">
        <f>B14/5800</f>
        <v>15.16078137570199</v>
      </c>
      <c r="C15" s="92">
        <f t="shared" ref="C15:D15" si="1">C14/5800</f>
        <v>2.202952862186442</v>
      </c>
      <c r="D15" s="93">
        <f t="shared" si="1"/>
        <v>0.12634445112541234</v>
      </c>
    </row>
  </sheetData>
  <mergeCells count="2">
    <mergeCell ref="C2:D5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workbookViewId="0">
      <selection activeCell="D16" sqref="D16"/>
    </sheetView>
  </sheetViews>
  <sheetFormatPr baseColWidth="10" defaultRowHeight="15.75"/>
  <cols>
    <col min="2" max="2" width="12" bestFit="1" customWidth="1"/>
    <col min="3" max="3" width="21.5" bestFit="1" customWidth="1"/>
    <col min="4" max="4" width="26.5" bestFit="1" customWidth="1"/>
    <col min="5" max="5" width="19.375" bestFit="1" customWidth="1"/>
    <col min="6" max="6" width="21.5" bestFit="1" customWidth="1"/>
    <col min="7" max="7" width="19.375" bestFit="1" customWidth="1"/>
  </cols>
  <sheetData>
    <row r="2" spans="2:7" ht="16.5" thickBot="1"/>
    <row r="3" spans="2:7">
      <c r="B3" s="115" t="s">
        <v>364</v>
      </c>
      <c r="C3" s="31" t="s">
        <v>362</v>
      </c>
      <c r="D3" s="31" t="s">
        <v>377</v>
      </c>
      <c r="E3" s="124" t="s">
        <v>367</v>
      </c>
      <c r="F3" s="55" t="s">
        <v>372</v>
      </c>
      <c r="G3" s="127" t="s">
        <v>371</v>
      </c>
    </row>
    <row r="4" spans="2:7">
      <c r="B4" s="119" t="s">
        <v>361</v>
      </c>
      <c r="C4" s="117">
        <v>7</v>
      </c>
      <c r="D4" s="117">
        <v>30</v>
      </c>
      <c r="E4" s="125">
        <f>4.75*C4</f>
        <v>33.25</v>
      </c>
      <c r="F4" s="121">
        <f>4.37*E4</f>
        <v>145.30250000000001</v>
      </c>
      <c r="G4" s="28">
        <f>F4/5820</f>
        <v>2.4966065292096221E-2</v>
      </c>
    </row>
    <row r="5" spans="2:7" ht="16.5" thickBot="1">
      <c r="B5" s="120" t="s">
        <v>363</v>
      </c>
      <c r="C5" s="13">
        <v>245</v>
      </c>
      <c r="D5" s="13">
        <v>391</v>
      </c>
      <c r="E5" s="126">
        <f>0.733*C5</f>
        <v>179.58500000000001</v>
      </c>
      <c r="F5" s="122">
        <f>4.37*E5</f>
        <v>784.78645000000006</v>
      </c>
      <c r="G5" s="29">
        <f>F5/5820</f>
        <v>0.13484303264604813</v>
      </c>
    </row>
    <row r="6" spans="2:7" ht="16.5" thickBot="1"/>
    <row r="7" spans="2:7">
      <c r="B7" s="55" t="s">
        <v>365</v>
      </c>
      <c r="C7" s="31" t="s">
        <v>366</v>
      </c>
      <c r="D7" s="31" t="s">
        <v>369</v>
      </c>
      <c r="E7" s="124" t="s">
        <v>368</v>
      </c>
      <c r="F7" s="55" t="s">
        <v>372</v>
      </c>
      <c r="G7" s="127" t="s">
        <v>371</v>
      </c>
    </row>
    <row r="8" spans="2:7">
      <c r="B8" s="56" t="s">
        <v>361</v>
      </c>
      <c r="C8" s="117">
        <v>1</v>
      </c>
      <c r="D8" s="117" t="s">
        <v>370</v>
      </c>
      <c r="E8" s="125">
        <v>12</v>
      </c>
      <c r="F8" s="121">
        <f>5.5*E8*C8/10</f>
        <v>6.6</v>
      </c>
      <c r="G8" s="28">
        <f>F8/5820</f>
        <v>1.134020618556701E-3</v>
      </c>
    </row>
    <row r="9" spans="2:7" ht="16.5" thickBot="1">
      <c r="B9" s="57" t="s">
        <v>363</v>
      </c>
      <c r="C9" s="13">
        <v>4</v>
      </c>
      <c r="D9" s="13" t="s">
        <v>370</v>
      </c>
      <c r="E9" s="126">
        <v>125</v>
      </c>
      <c r="F9" s="122">
        <f>5.5*E9*C9/10</f>
        <v>275</v>
      </c>
      <c r="G9" s="29">
        <f>F9/5820</f>
        <v>4.7250859106529208E-2</v>
      </c>
    </row>
    <row r="10" spans="2:7" ht="16.5" thickBot="1"/>
    <row r="11" spans="2:7">
      <c r="B11" s="55" t="s">
        <v>373</v>
      </c>
      <c r="C11" s="128" t="s">
        <v>372</v>
      </c>
      <c r="D11" s="127" t="s">
        <v>371</v>
      </c>
    </row>
    <row r="12" spans="2:7">
      <c r="B12" s="56" t="s">
        <v>361</v>
      </c>
      <c r="C12" s="117">
        <f>F4</f>
        <v>145.30250000000001</v>
      </c>
      <c r="D12" s="28">
        <f>G4</f>
        <v>2.4966065292096221E-2</v>
      </c>
    </row>
    <row r="13" spans="2:7" ht="16.5" thickBot="1">
      <c r="B13" s="57" t="s">
        <v>363</v>
      </c>
      <c r="C13" s="13">
        <f>F5</f>
        <v>784.78645000000006</v>
      </c>
      <c r="D13" s="29">
        <f>G5</f>
        <v>0.13484303264604813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125" workbookViewId="0">
      <selection activeCell="D9" sqref="D9"/>
    </sheetView>
  </sheetViews>
  <sheetFormatPr baseColWidth="10" defaultRowHeight="15.75"/>
  <cols>
    <col min="2" max="2" width="36.5" bestFit="1" customWidth="1"/>
    <col min="3" max="3" width="13" customWidth="1"/>
    <col min="4" max="4" width="12" customWidth="1"/>
    <col min="7" max="7" width="33.5" customWidth="1"/>
  </cols>
  <sheetData>
    <row r="1" spans="1:8">
      <c r="B1" s="117"/>
      <c r="C1" s="163" t="s">
        <v>379</v>
      </c>
      <c r="D1" s="163" t="s">
        <v>380</v>
      </c>
    </row>
    <row r="2" spans="1:8">
      <c r="B2" s="163" t="s">
        <v>381</v>
      </c>
      <c r="C2" s="117" t="s">
        <v>382</v>
      </c>
      <c r="D2" s="117">
        <v>1423</v>
      </c>
      <c r="E2" s="165">
        <f>1423/76611</f>
        <v>1.8574356162953099E-2</v>
      </c>
      <c r="G2" t="s">
        <v>389</v>
      </c>
      <c r="H2">
        <v>0.62</v>
      </c>
    </row>
    <row r="3" spans="1:8">
      <c r="A3" s="253"/>
      <c r="B3" s="163" t="s">
        <v>386</v>
      </c>
      <c r="C3" s="117">
        <f>161009</f>
        <v>161009</v>
      </c>
      <c r="D3" s="117">
        <f>C3*E2</f>
        <v>2990.6385114409154</v>
      </c>
      <c r="G3" t="s">
        <v>391</v>
      </c>
    </row>
    <row r="4" spans="1:8">
      <c r="A4" s="253"/>
      <c r="B4" s="163" t="s">
        <v>387</v>
      </c>
      <c r="C4" s="117" t="s">
        <v>392</v>
      </c>
      <c r="D4" s="117">
        <f>142</f>
        <v>142</v>
      </c>
    </row>
    <row r="5" spans="1:8">
      <c r="A5" s="253"/>
      <c r="B5" s="7" t="s">
        <v>383</v>
      </c>
      <c r="C5" s="117">
        <f>C3*1000</f>
        <v>161009000</v>
      </c>
      <c r="D5" s="117">
        <f>(D3+D4)*1000</f>
        <v>3132638.5114409155</v>
      </c>
    </row>
    <row r="6" spans="1:8">
      <c r="A6" s="164"/>
      <c r="B6" s="166" t="s">
        <v>388</v>
      </c>
      <c r="C6" s="167"/>
      <c r="D6" s="167">
        <f>D5/5800</f>
        <v>540.11008817946822</v>
      </c>
    </row>
    <row r="7" spans="1:8">
      <c r="B7" s="7" t="s">
        <v>384</v>
      </c>
      <c r="C7" s="252">
        <v>2.0999999999999999E-3</v>
      </c>
      <c r="D7" s="252"/>
    </row>
    <row r="8" spans="1:8">
      <c r="B8" s="7" t="s">
        <v>385</v>
      </c>
      <c r="C8" s="117">
        <f>C5*C7</f>
        <v>338118.89999999997</v>
      </c>
      <c r="D8" s="117">
        <f>D5*C7</f>
        <v>6578.5408740259218</v>
      </c>
    </row>
    <row r="9" spans="1:8">
      <c r="B9" s="166" t="s">
        <v>390</v>
      </c>
      <c r="C9" s="167"/>
      <c r="D9" s="167">
        <f>D8/5820</f>
        <v>1.1303334835096086</v>
      </c>
    </row>
  </sheetData>
  <mergeCells count="2">
    <mergeCell ref="C7:D7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Recap table</vt:lpstr>
      <vt:lpstr> Medications</vt:lpstr>
      <vt:lpstr>Medical devices</vt:lpstr>
      <vt:lpstr>Caregivers transportation</vt:lpstr>
      <vt:lpstr>Energy</vt:lpstr>
      <vt:lpstr>ECMO and CRRT</vt:lpstr>
      <vt:lpstr>Oxygen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Nicolas MASSART</cp:lastModifiedBy>
  <dcterms:created xsi:type="dcterms:W3CDTF">2024-10-01T13:45:25Z</dcterms:created>
  <dcterms:modified xsi:type="dcterms:W3CDTF">2025-01-29T13:43:24Z</dcterms:modified>
</cp:coreProperties>
</file>