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LNG-turbine" sheetId="5" r:id="rId1"/>
    <sheet name="LNG-engine" sheetId="4" r:id="rId2"/>
    <sheet name="Methanol" sheetId="2" r:id="rId3"/>
    <sheet name="Ammonia" sheetId="1" r:id="rId4"/>
    <sheet name="LOHC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4" i="5" l="1"/>
  <c r="K103" i="5"/>
  <c r="J103" i="5"/>
  <c r="J102" i="5"/>
  <c r="J101" i="5"/>
  <c r="J100" i="5"/>
  <c r="J99" i="5"/>
  <c r="K99" i="5" s="1"/>
  <c r="J98" i="5"/>
  <c r="J97" i="5"/>
  <c r="J96" i="5"/>
  <c r="J95" i="5"/>
  <c r="K95" i="5" s="1"/>
  <c r="J94" i="5"/>
  <c r="J93" i="5"/>
  <c r="J92" i="5"/>
  <c r="J91" i="5"/>
  <c r="K91" i="5" s="1"/>
  <c r="J90" i="5"/>
  <c r="J89" i="5"/>
  <c r="J88" i="5"/>
  <c r="K87" i="5"/>
  <c r="J87" i="5"/>
  <c r="J86" i="5"/>
  <c r="J85" i="5"/>
  <c r="K85" i="5" s="1"/>
  <c r="J84" i="5"/>
  <c r="J83" i="5"/>
  <c r="J82" i="5"/>
  <c r="J81" i="5"/>
  <c r="J80" i="5"/>
  <c r="J79" i="5"/>
  <c r="J78" i="5"/>
  <c r="K78" i="5" s="1"/>
  <c r="K75" i="5"/>
  <c r="J75" i="5"/>
  <c r="J71" i="5"/>
  <c r="K71" i="5" s="1"/>
  <c r="J70" i="5"/>
  <c r="J69" i="5"/>
  <c r="J67" i="5"/>
  <c r="J66" i="5"/>
  <c r="J65" i="5"/>
  <c r="J64" i="5"/>
  <c r="K64" i="5" s="1"/>
  <c r="J60" i="5"/>
  <c r="J56" i="5"/>
  <c r="J54" i="5"/>
  <c r="K54" i="5" s="1"/>
  <c r="J52" i="5"/>
  <c r="J50" i="5"/>
  <c r="J48" i="5"/>
  <c r="K48" i="5" s="1"/>
  <c r="K44" i="5"/>
  <c r="J44" i="5"/>
  <c r="J38" i="5"/>
  <c r="K38" i="5" s="1"/>
  <c r="J35" i="5"/>
  <c r="J29" i="5"/>
  <c r="J27" i="5"/>
  <c r="K27" i="5" s="1"/>
  <c r="J21" i="5"/>
  <c r="J17" i="5"/>
  <c r="K17" i="5" s="1"/>
  <c r="J16" i="5"/>
  <c r="J15" i="5"/>
  <c r="J13" i="5"/>
  <c r="J12" i="5"/>
  <c r="J11" i="5"/>
  <c r="K11" i="5" s="1"/>
  <c r="J5" i="5"/>
  <c r="J3" i="5"/>
  <c r="K3" i="5" s="1"/>
  <c r="J132" i="4" l="1"/>
  <c r="J131" i="4"/>
  <c r="K131" i="4" s="1"/>
  <c r="J130" i="4"/>
  <c r="J129" i="4"/>
  <c r="J128" i="4"/>
  <c r="J127" i="4"/>
  <c r="K127" i="4" s="1"/>
  <c r="J126" i="4"/>
  <c r="J125" i="4"/>
  <c r="J124" i="4"/>
  <c r="K123" i="4"/>
  <c r="J123" i="4"/>
  <c r="J122" i="4"/>
  <c r="J121" i="4"/>
  <c r="J120" i="4"/>
  <c r="K119" i="4" s="1"/>
  <c r="J119" i="4"/>
  <c r="J118" i="4"/>
  <c r="J117" i="4"/>
  <c r="K115" i="4" s="1"/>
  <c r="J116" i="4"/>
  <c r="J115" i="4"/>
  <c r="K112" i="4"/>
  <c r="J112" i="4"/>
  <c r="J111" i="4"/>
  <c r="J110" i="4"/>
  <c r="J109" i="4"/>
  <c r="J108" i="4"/>
  <c r="J106" i="4"/>
  <c r="J105" i="4"/>
  <c r="J104" i="4"/>
  <c r="J92" i="4"/>
  <c r="J91" i="4"/>
  <c r="J88" i="4"/>
  <c r="J87" i="4"/>
  <c r="K75" i="4" s="1"/>
  <c r="J78" i="4"/>
  <c r="J75" i="4"/>
  <c r="K71" i="4"/>
  <c r="J71" i="4"/>
  <c r="J70" i="4"/>
  <c r="J69" i="4"/>
  <c r="J67" i="4"/>
  <c r="J66" i="4"/>
  <c r="J65" i="4"/>
  <c r="J64" i="4"/>
  <c r="K64" i="4" s="1"/>
  <c r="J60" i="4"/>
  <c r="J56" i="4"/>
  <c r="J54" i="4"/>
  <c r="K54" i="4" s="1"/>
  <c r="J52" i="4"/>
  <c r="J50" i="4"/>
  <c r="J48" i="4"/>
  <c r="K48" i="4" s="1"/>
  <c r="K44" i="4"/>
  <c r="J44" i="4"/>
  <c r="J38" i="4"/>
  <c r="K38" i="4" s="1"/>
  <c r="J35" i="4"/>
  <c r="J29" i="4"/>
  <c r="J27" i="4"/>
  <c r="K27" i="4" s="1"/>
  <c r="J21" i="4"/>
  <c r="J17" i="4"/>
  <c r="K17" i="4" s="1"/>
  <c r="J16" i="4"/>
  <c r="K11" i="4" s="1"/>
  <c r="J15" i="4"/>
  <c r="J13" i="4"/>
  <c r="J12" i="4"/>
  <c r="J11" i="4"/>
  <c r="J5" i="4"/>
  <c r="J3" i="4"/>
  <c r="K3" i="4" s="1"/>
  <c r="J108" i="3" l="1"/>
  <c r="J107" i="3"/>
  <c r="K107" i="3" s="1"/>
  <c r="J106" i="3"/>
  <c r="J105" i="3"/>
  <c r="J104" i="3"/>
  <c r="J103" i="3"/>
  <c r="K103" i="3" s="1"/>
  <c r="J102" i="3"/>
  <c r="J101" i="3"/>
  <c r="J100" i="3"/>
  <c r="K99" i="3"/>
  <c r="J99" i="3"/>
  <c r="J98" i="3"/>
  <c r="J97" i="3"/>
  <c r="J96" i="3"/>
  <c r="K95" i="3" s="1"/>
  <c r="J95" i="3"/>
  <c r="J94" i="3"/>
  <c r="J93" i="3"/>
  <c r="J92" i="3"/>
  <c r="K91" i="3"/>
  <c r="J91" i="3"/>
  <c r="K89" i="3"/>
  <c r="J89" i="3"/>
  <c r="K87" i="3"/>
  <c r="J87" i="3"/>
  <c r="J85" i="3"/>
  <c r="K85" i="3" s="1"/>
  <c r="I85" i="3"/>
  <c r="J81" i="3"/>
  <c r="K81" i="3" s="1"/>
  <c r="J80" i="3"/>
  <c r="J79" i="3"/>
  <c r="J77" i="3"/>
  <c r="J76" i="3"/>
  <c r="J75" i="3"/>
  <c r="K74" i="3"/>
  <c r="J74" i="3"/>
  <c r="J70" i="3"/>
  <c r="K64" i="3" s="1"/>
  <c r="J66" i="3"/>
  <c r="J64" i="3"/>
  <c r="J62" i="3"/>
  <c r="J60" i="3"/>
  <c r="K58" i="3"/>
  <c r="J58" i="3"/>
  <c r="K54" i="3"/>
  <c r="J54" i="3"/>
  <c r="K48" i="3"/>
  <c r="J48" i="3"/>
  <c r="J45" i="3"/>
  <c r="J39" i="3"/>
  <c r="K37" i="3"/>
  <c r="J37" i="3"/>
  <c r="J31" i="3"/>
  <c r="J27" i="3"/>
  <c r="K27" i="3" s="1"/>
  <c r="J21" i="3"/>
  <c r="J17" i="3"/>
  <c r="K17" i="3" s="1"/>
  <c r="J16" i="3"/>
  <c r="J15" i="3"/>
  <c r="J13" i="3"/>
  <c r="K11" i="3" s="1"/>
  <c r="J12" i="3"/>
  <c r="J11" i="3"/>
  <c r="J7" i="3"/>
  <c r="K7" i="3" s="1"/>
  <c r="J5" i="3"/>
  <c r="J3" i="3"/>
  <c r="K3" i="3" s="1"/>
  <c r="J136" i="2" l="1"/>
  <c r="J135" i="2"/>
  <c r="K135" i="2" s="1"/>
  <c r="J134" i="2"/>
  <c r="J133" i="2"/>
  <c r="J132" i="2"/>
  <c r="J131" i="2"/>
  <c r="K131" i="2" s="1"/>
  <c r="J130" i="2"/>
  <c r="J129" i="2"/>
  <c r="J128" i="2"/>
  <c r="J127" i="2"/>
  <c r="K127" i="2" s="1"/>
  <c r="J126" i="2"/>
  <c r="J125" i="2"/>
  <c r="J124" i="2"/>
  <c r="J123" i="2"/>
  <c r="K123" i="2" s="1"/>
  <c r="J122" i="2"/>
  <c r="J121" i="2"/>
  <c r="J120" i="2"/>
  <c r="K119" i="2" s="1"/>
  <c r="J119" i="2"/>
  <c r="J115" i="2"/>
  <c r="K115" i="2" s="1"/>
  <c r="J114" i="2"/>
  <c r="J113" i="2"/>
  <c r="J111" i="2"/>
  <c r="J110" i="2"/>
  <c r="J109" i="2"/>
  <c r="J108" i="2"/>
  <c r="K108" i="2" s="1"/>
  <c r="J104" i="2"/>
  <c r="J100" i="2"/>
  <c r="K98" i="2"/>
  <c r="J98" i="2"/>
  <c r="J96" i="2"/>
  <c r="J94" i="2"/>
  <c r="J92" i="2"/>
  <c r="K92" i="2" s="1"/>
  <c r="J88" i="2"/>
  <c r="K88" i="2" s="1"/>
  <c r="K82" i="2"/>
  <c r="J82" i="2"/>
  <c r="J79" i="2"/>
  <c r="J73" i="2"/>
  <c r="J71" i="2"/>
  <c r="K71" i="2" s="1"/>
  <c r="J70" i="2"/>
  <c r="J68" i="2"/>
  <c r="J67" i="2"/>
  <c r="J66" i="2"/>
  <c r="J54" i="2"/>
  <c r="J53" i="2"/>
  <c r="J50" i="2"/>
  <c r="J49" i="2"/>
  <c r="J40" i="2"/>
  <c r="J37" i="2"/>
  <c r="K37" i="2" s="1"/>
  <c r="J32" i="2"/>
  <c r="J28" i="2"/>
  <c r="K27" i="2"/>
  <c r="J21" i="2"/>
  <c r="J17" i="2"/>
  <c r="K17" i="2" s="1"/>
  <c r="J16" i="2"/>
  <c r="J15" i="2"/>
  <c r="K11" i="2" s="1"/>
  <c r="J13" i="2"/>
  <c r="J12" i="2"/>
  <c r="J11" i="2"/>
  <c r="J7" i="2"/>
  <c r="K7" i="2" s="1"/>
  <c r="J5" i="2"/>
  <c r="K3" i="2"/>
  <c r="J3" i="2"/>
  <c r="J96" i="1" l="1"/>
  <c r="J95" i="1"/>
  <c r="K95" i="1" s="1"/>
  <c r="J94" i="1"/>
  <c r="J93" i="1"/>
  <c r="J92" i="1"/>
  <c r="J91" i="1"/>
  <c r="K91" i="1" s="1"/>
  <c r="J90" i="1"/>
  <c r="J89" i="1"/>
  <c r="J88" i="1"/>
  <c r="J87" i="1"/>
  <c r="K87" i="1" s="1"/>
  <c r="J86" i="1"/>
  <c r="J85" i="1"/>
  <c r="J84" i="1"/>
  <c r="J83" i="1"/>
  <c r="K83" i="1" s="1"/>
  <c r="J82" i="1"/>
  <c r="J81" i="1"/>
  <c r="J80" i="1"/>
  <c r="K79" i="1"/>
  <c r="J79" i="1"/>
  <c r="J77" i="1"/>
  <c r="K77" i="1" s="1"/>
  <c r="J75" i="1"/>
  <c r="I75" i="1" s="1"/>
  <c r="J71" i="1"/>
  <c r="K71" i="1" s="1"/>
  <c r="J70" i="1"/>
  <c r="J69" i="1"/>
  <c r="J67" i="1"/>
  <c r="J66" i="1"/>
  <c r="J65" i="1"/>
  <c r="J64" i="1"/>
  <c r="K64" i="1" s="1"/>
  <c r="J60" i="1"/>
  <c r="J56" i="1"/>
  <c r="J54" i="1"/>
  <c r="K54" i="1" s="1"/>
  <c r="J52" i="1"/>
  <c r="J50" i="1"/>
  <c r="J48" i="1"/>
  <c r="K48" i="1" s="1"/>
  <c r="K44" i="1"/>
  <c r="J44" i="1"/>
  <c r="J38" i="1"/>
  <c r="K38" i="1" s="1"/>
  <c r="J35" i="1"/>
  <c r="J29" i="1"/>
  <c r="J27" i="1"/>
  <c r="K27" i="1" s="1"/>
  <c r="J21" i="1"/>
  <c r="K17" i="1" s="1"/>
  <c r="J17" i="1"/>
  <c r="J16" i="1"/>
  <c r="J15" i="1"/>
  <c r="J13" i="1"/>
  <c r="J12" i="1"/>
  <c r="J11" i="1"/>
  <c r="K11" i="1" s="1"/>
  <c r="K7" i="1"/>
  <c r="J7" i="1"/>
  <c r="J5" i="1"/>
  <c r="J3" i="1"/>
  <c r="K3" i="1" s="1"/>
  <c r="K75" i="1" l="1"/>
</calcChain>
</file>

<file path=xl/sharedStrings.xml><?xml version="1.0" encoding="utf-8"?>
<sst xmlns="http://schemas.openxmlformats.org/spreadsheetml/2006/main" count="1436" uniqueCount="351">
  <si>
    <t>Component group</t>
  </si>
  <si>
    <t>Structural Component</t>
  </si>
  <si>
    <t>Failure Reason</t>
  </si>
  <si>
    <t>Result</t>
  </si>
  <si>
    <t>System Failure</t>
  </si>
  <si>
    <t>Severity</t>
  </si>
  <si>
    <t>Failure Rate</t>
  </si>
  <si>
    <t>Failure Rate λ</t>
  </si>
  <si>
    <r>
      <t xml:space="preserve">Summation of </t>
    </r>
    <r>
      <rPr>
        <sz val="11"/>
        <color theme="1"/>
        <rFont val="Calibri"/>
        <family val="2"/>
      </rPr>
      <t xml:space="preserve">λ per </t>
    </r>
  </si>
  <si>
    <t>Rating of λ</t>
  </si>
  <si>
    <t>Yes (Green)/No (Red)</t>
  </si>
  <si>
    <t>Fails / Stunden λ</t>
  </si>
  <si>
    <t>[1/h]</t>
  </si>
  <si>
    <t xml:space="preserve">mechanical unit </t>
  </si>
  <si>
    <t>Tank</t>
  </si>
  <si>
    <t>Ammonia tank</t>
  </si>
  <si>
    <t>Leakage</t>
  </si>
  <si>
    <t>Ammonia is set free</t>
  </si>
  <si>
    <t>Explosion limit (15,4-33,6 %), highly corrosive</t>
  </si>
  <si>
    <t>2,87/10^6</t>
  </si>
  <si>
    <t>p. 408 OREDA</t>
  </si>
  <si>
    <t>Destruction</t>
  </si>
  <si>
    <t>0,985/10^6</t>
  </si>
  <si>
    <t>(p. 203 CCPS)</t>
  </si>
  <si>
    <t>?</t>
  </si>
  <si>
    <t>0,0109/10^6</t>
  </si>
  <si>
    <t>(p.205 CCPS)</t>
  </si>
  <si>
    <r>
      <t xml:space="preserve">Pump
</t>
    </r>
    <r>
      <rPr>
        <sz val="11"/>
        <color theme="1"/>
        <rFont val="Calibri"/>
        <family val="2"/>
        <scheme val="minor"/>
      </rPr>
      <t>(All safty data OREDA p. 173 et seq.)</t>
    </r>
  </si>
  <si>
    <t>Gasket</t>
  </si>
  <si>
    <t>7,07/10^6</t>
  </si>
  <si>
    <t>Shaft</t>
  </si>
  <si>
    <t>Pressure drop</t>
  </si>
  <si>
    <t>1,24/10^6</t>
  </si>
  <si>
    <t>Bearing</t>
  </si>
  <si>
    <t>Fatigue</t>
  </si>
  <si>
    <t>Pressure drop/</t>
  </si>
  <si>
    <t>No System failure if detected at an early stage</t>
  </si>
  <si>
    <t>0,6/10^6</t>
  </si>
  <si>
    <t xml:space="preserve">performance slump </t>
  </si>
  <si>
    <t>Defect</t>
  </si>
  <si>
    <t>19,07/10^6</t>
  </si>
  <si>
    <t>Clutch</t>
  </si>
  <si>
    <t>5,11/10^6</t>
  </si>
  <si>
    <t>Piping
(Ammonia)</t>
  </si>
  <si>
    <t>screw connection</t>
  </si>
  <si>
    <t>Gasket fatigue</t>
  </si>
  <si>
    <t>0,57/10^6</t>
  </si>
  <si>
    <t>(p.184 CCPS)</t>
  </si>
  <si>
    <t>Pipe</t>
  </si>
  <si>
    <t>0,885/10^6</t>
  </si>
  <si>
    <t>p.186 CCPS</t>
  </si>
  <si>
    <t>Deposit and Partly blocked</t>
  </si>
  <si>
    <t>Blocked</t>
  </si>
  <si>
    <t>Heat Exchanger</t>
  </si>
  <si>
    <t>No ammonia in Reactor; performance slump</t>
  </si>
  <si>
    <t>2/10^6</t>
  </si>
  <si>
    <t>Deposits; Smaller HEX surface</t>
  </si>
  <si>
    <t xml:space="preserve">Insufficient heating, performance slump </t>
  </si>
  <si>
    <t>4,02/10^6</t>
  </si>
  <si>
    <t>Leckage</t>
  </si>
  <si>
    <t>HEX-Fluid enters FC, Emission values worsen, severe damage to FC possible</t>
  </si>
  <si>
    <t>Worst case: FC failure</t>
  </si>
  <si>
    <t>10,15/10^6</t>
  </si>
  <si>
    <t>Sensors</t>
  </si>
  <si>
    <t>Temperatur sensor</t>
  </si>
  <si>
    <t>No Signal</t>
  </si>
  <si>
    <t>Emergency stop due to missing information on temperature</t>
  </si>
  <si>
    <t>2,23/10^6</t>
  </si>
  <si>
    <t>Signal to high</t>
  </si>
  <si>
    <t xml:space="preserve">System target temperature to low, </t>
  </si>
  <si>
    <t>p. 560 OREDA</t>
  </si>
  <si>
    <t xml:space="preserve"> Performance slump</t>
  </si>
  <si>
    <t xml:space="preserve">Signal to low </t>
  </si>
  <si>
    <t>System target pressure to high</t>
  </si>
  <si>
    <t>Pressure sensor</t>
  </si>
  <si>
    <t>Emergency stop due to missing information on pressure</t>
  </si>
  <si>
    <t>5,30/10^6</t>
  </si>
  <si>
    <t>system target pressure to low, performance slump</t>
  </si>
  <si>
    <t>(p.553 OREDA)</t>
  </si>
  <si>
    <t>system target pressure to high; possible damage to pipe system</t>
  </si>
  <si>
    <t>Level sensor</t>
  </si>
  <si>
    <t>emergency stop due to missing information on level</t>
  </si>
  <si>
    <t>0,46/10^6</t>
  </si>
  <si>
    <t>p.544 OREDA</t>
  </si>
  <si>
    <t xml:space="preserve">Signal to high </t>
  </si>
  <si>
    <t>System failure due to lack of ammonia</t>
  </si>
  <si>
    <t>9,93/10^6</t>
  </si>
  <si>
    <t>Wrongly system shut-off due to wrong "No ammonia left" signal</t>
  </si>
  <si>
    <t>Velocity sensor</t>
  </si>
  <si>
    <t>emergency stop due to missing information on velocity</t>
  </si>
  <si>
    <t>2,65/10^6</t>
  </si>
  <si>
    <t>p.540 OREDA</t>
  </si>
  <si>
    <t xml:space="preserve">System target flow rate to low </t>
  </si>
  <si>
    <t>0,68/10^6</t>
  </si>
  <si>
    <t xml:space="preserve">Ammonia: Not enough Ammonia for decompesition resulting in to little Hydrogen </t>
  </si>
  <si>
    <t>Hydrogen: Performance slump</t>
  </si>
  <si>
    <t>System target flow rate to high</t>
  </si>
  <si>
    <t>1,29/10^6</t>
  </si>
  <si>
    <t>Ammonia: to much Ammonia leading to to high Hydrogen pressure</t>
  </si>
  <si>
    <t>p. 540 OREDA</t>
  </si>
  <si>
    <r>
      <t xml:space="preserve">Compressor 
</t>
    </r>
    <r>
      <rPr>
        <sz val="11"/>
        <color theme="1"/>
        <rFont val="Calibri"/>
        <family val="2"/>
        <scheme val="minor"/>
      </rPr>
      <t>(All safty data  OREDA p.58 set seq.)</t>
    </r>
  </si>
  <si>
    <t>Leakage (external)</t>
  </si>
  <si>
    <t>Hydrogen is set free</t>
  </si>
  <si>
    <t>12,45/10^6</t>
  </si>
  <si>
    <t>Leakage (internal)</t>
  </si>
  <si>
    <t>24,22/10^6</t>
  </si>
  <si>
    <t>Hydrogen partial pressure drops; perfrormance slump</t>
  </si>
  <si>
    <t>3,02/10^6</t>
  </si>
  <si>
    <t>11,36/10^6</t>
  </si>
  <si>
    <t xml:space="preserve">Performance slump </t>
  </si>
  <si>
    <t>Hydrogen partial pressure drops;performance slump</t>
  </si>
  <si>
    <t>6,52/10^6</t>
  </si>
  <si>
    <t>Hydrogen partial pressure drops;Peformance slump</t>
  </si>
  <si>
    <t>6,08/10^6</t>
  </si>
  <si>
    <t>Filter</t>
  </si>
  <si>
    <t>Progressive worsen of emission values</t>
  </si>
  <si>
    <t>1/14,2012*10^6</t>
  </si>
  <si>
    <t>Abrupt destruction (Rupture)</t>
  </si>
  <si>
    <t>Abrupt worsen of emission values</t>
  </si>
  <si>
    <t>(p. 119 NPRD</t>
  </si>
  <si>
    <t>Partsummary 2-89)</t>
  </si>
  <si>
    <t>Pressure build up (previous systemparts)</t>
  </si>
  <si>
    <t>Fuel Cell</t>
  </si>
  <si>
    <t>Membrane</t>
  </si>
  <si>
    <t>reversible poisoning</t>
  </si>
  <si>
    <t>Decomposition Unit</t>
  </si>
  <si>
    <t>Vessle</t>
  </si>
  <si>
    <t xml:space="preserve">No Hydrogen for PEM, Performance Slump, Ammonia and Hydrogen is set free </t>
  </si>
  <si>
    <t>CCPS p. 37</t>
  </si>
  <si>
    <t>1/26300</t>
  </si>
  <si>
    <t>Valve</t>
  </si>
  <si>
    <t>Butterfly valve (Flow regulation liquid) (OREDA p. 589)</t>
  </si>
  <si>
    <t xml:space="preserve">fails to open on demand </t>
  </si>
  <si>
    <t xml:space="preserve">Pressure built up </t>
  </si>
  <si>
    <t>1,36/1*10^6</t>
  </si>
  <si>
    <t>fails to close on demand</t>
  </si>
  <si>
    <t>Insufficient flowregulation, Pressure built up following systemparts</t>
  </si>
  <si>
    <t>2,36/10*10^6</t>
  </si>
  <si>
    <t>leakage</t>
  </si>
  <si>
    <t>1,91/10*^6</t>
  </si>
  <si>
    <t>power outage</t>
  </si>
  <si>
    <t>Insufficient flowregulation</t>
  </si>
  <si>
    <t>5,86/1*10^6</t>
  </si>
  <si>
    <t>Globe valve (Flow regulation Gas) (OREDA p.634)</t>
  </si>
  <si>
    <t>2,41/1*10^6</t>
  </si>
  <si>
    <t>5,18/1*10^6</t>
  </si>
  <si>
    <t>(1,54+0,28)/1*10^6</t>
  </si>
  <si>
    <t>6,27/1*10^6</t>
  </si>
  <si>
    <t>Gate valve (Closing off Liquid) (OREDA p.607)</t>
  </si>
  <si>
    <t>No Fuel in following Systemparts</t>
  </si>
  <si>
    <t>3,81/1*10^6</t>
  </si>
  <si>
    <t xml:space="preserve">Insufficient closing off, problematic for Maintenance of following systemparts </t>
  </si>
  <si>
    <t>3,03/1*10^6</t>
  </si>
  <si>
    <t xml:space="preserve">Insufficient closing off, Ammonia is set free </t>
  </si>
  <si>
    <t>(0,14+0,25)/1*10^6</t>
  </si>
  <si>
    <t>Unable to re-open/close off Systemparts</t>
  </si>
  <si>
    <t>0,21/1*10^6</t>
  </si>
  <si>
    <t>Gate valve (Closing off Gas) (OREDA p.616)</t>
  </si>
  <si>
    <t xml:space="preserve">failed to open on demand </t>
  </si>
  <si>
    <t>4,29/1*10^6</t>
  </si>
  <si>
    <t>Failed to close on demand</t>
  </si>
  <si>
    <t>8,52/1*10^6</t>
  </si>
  <si>
    <t xml:space="preserve">Insufficient closing off, Hydrogen is set free </t>
  </si>
  <si>
    <t>0,39/1*10^6</t>
  </si>
  <si>
    <t>0,74/1*10^6</t>
  </si>
  <si>
    <t>Pressure safty valve (OREDA p.645)</t>
  </si>
  <si>
    <t>Pressure build-up (following systemparts)</t>
  </si>
  <si>
    <t>0,82/10^6</t>
  </si>
  <si>
    <t>pressure drop ,</t>
  </si>
  <si>
    <t>1,15/10^6</t>
  </si>
  <si>
    <t xml:space="preserve">explosive atmosphere possible </t>
  </si>
  <si>
    <t>Cat. Deactivation no influence (from: Ammonia decomposition kinetics over Ni-Pt/Al2O3
for PEM fuel cell applications)</t>
  </si>
  <si>
    <t>Amminoa causes Stress cracking in Steel piping (From: Analysis Cracking Corrosion on Carbon Steel Pipes API 5LX65
in Solution 7700 ml Aquades, 250 ml Acetic Acid and 50
ml Ammonia with Gas CO2 and H2S in Saturation Condition)</t>
  </si>
  <si>
    <t>Verbesserung bei verwendung von Corr. Res. Bauteilen von bis zu 30 % (from: Control corrosion factors in ammonia and urea plants
Processing conditions for ammonia and urea are highly corrosive; using
metallurgical advancements can mitigate such forces)</t>
  </si>
  <si>
    <t>Methanol tank</t>
  </si>
  <si>
    <t>Methanol is set free</t>
  </si>
  <si>
    <t>Explosion limit (6,7 vol%)</t>
  </si>
  <si>
    <t>s. 416 OREDA</t>
  </si>
  <si>
    <t>(s.203 CCPS)</t>
  </si>
  <si>
    <t>hydrogen tank
(pressurized tank)</t>
  </si>
  <si>
    <t>hydrogen is set free</t>
  </si>
  <si>
    <t>Explosion limit (4  vol%)</t>
  </si>
  <si>
    <t>0,0636/10^6</t>
  </si>
  <si>
    <t>(s.205 CCPS)</t>
  </si>
  <si>
    <r>
      <t xml:space="preserve">Pump
</t>
    </r>
    <r>
      <rPr>
        <sz val="11"/>
        <color theme="1"/>
        <rFont val="Calibri"/>
        <family val="2"/>
        <scheme val="minor"/>
      </rPr>
      <t>(Alle Daten für Pumpe aus OREDA S. 173ff.)</t>
    </r>
  </si>
  <si>
    <t>Piping
(Methanol)</t>
  </si>
  <si>
    <t>(s.184 CCPS)</t>
  </si>
  <si>
    <t>s.186 CCPS</t>
  </si>
  <si>
    <t>Piping (hydrogen)</t>
  </si>
  <si>
    <t>Bearing fatigue</t>
  </si>
  <si>
    <r>
      <t xml:space="preserve">Engine
</t>
    </r>
    <r>
      <rPr>
        <sz val="11"/>
        <color theme="1"/>
        <rFont val="Calibri"/>
        <family val="2"/>
        <scheme val="minor"/>
      </rPr>
      <t>(Alle aus OREDA s. 236 ff.)</t>
    </r>
  </si>
  <si>
    <t>Piston</t>
  </si>
  <si>
    <t xml:space="preserve">leaking cylinder head </t>
  </si>
  <si>
    <t>Fuel is set free,</t>
  </si>
  <si>
    <t>The higher the Roughness the higher the Performance slump</t>
  </si>
  <si>
    <t>2,71/10^6</t>
  </si>
  <si>
    <t>Lubricant loss</t>
  </si>
  <si>
    <t>Motor speed to high</t>
  </si>
  <si>
    <t>Lucricant loss, loss of lubricity</t>
  </si>
  <si>
    <t>Piston seizure</t>
  </si>
  <si>
    <t>7,26/10^6</t>
  </si>
  <si>
    <t>Engine load to high</t>
  </si>
  <si>
    <t>Fuel excess</t>
  </si>
  <si>
    <t>to much lubricant</t>
  </si>
  <si>
    <t>Failure of engine cooling</t>
  </si>
  <si>
    <t>Foreign particles (abrasive) in the Piston</t>
  </si>
  <si>
    <t>Spark plug</t>
  </si>
  <si>
    <t xml:space="preserve">failed ignition of the fuel, performance slump </t>
  </si>
  <si>
    <t>dependant on the number of defect spark plugs</t>
  </si>
  <si>
    <t>1/4285,71</t>
  </si>
  <si>
    <t>Ignition distributor</t>
  </si>
  <si>
    <t>higher fuel consumption</t>
  </si>
  <si>
    <t>4,99/10^6</t>
  </si>
  <si>
    <t>Cylinder surface</t>
  </si>
  <si>
    <t>wear</t>
  </si>
  <si>
    <t>Compression pressure irregular; late effect: Piston seizure</t>
  </si>
  <si>
    <t>8/10^6</t>
  </si>
  <si>
    <t>Exaust pipe</t>
  </si>
  <si>
    <t>Pressure build up in the compressor-chamber</t>
  </si>
  <si>
    <t xml:space="preserve">Dependant on the number of pistons </t>
  </si>
  <si>
    <t>3,77/10^6</t>
  </si>
  <si>
    <t xml:space="preserve">Sparkplug calc. </t>
  </si>
  <si>
    <t>120000km/28km/h =</t>
  </si>
  <si>
    <t>4285.71h</t>
  </si>
  <si>
    <t>0,47/10^6</t>
  </si>
  <si>
    <t>source: https://www.tekniwiki.com/ngk-elearning/technical.php#/eng/01/04/01/content.html</t>
  </si>
  <si>
    <t>Fan (Luftleitung Motor)</t>
  </si>
  <si>
    <t>Partly blocked; Fuel/Air Ratio (Temperature dependant) set incorrectly</t>
  </si>
  <si>
    <t>Higher fire/misfire ratio; performance slump and higher Hydrocarbon content in Exaust air</t>
  </si>
  <si>
    <t>17,61/10^6</t>
  </si>
  <si>
    <t>No Air for combustion, Performance slump</t>
  </si>
  <si>
    <t>Bearing defect</t>
  </si>
  <si>
    <t>Heat Exchanger (All Data  OREDA p.387)</t>
  </si>
  <si>
    <t>No Fuel mixtrure in Piston; performance slump</t>
  </si>
  <si>
    <t>Insufficient heating, Higher fire/misfire ratio; performance slump and higher Hydrocarbon content in Exaust air</t>
  </si>
  <si>
    <t>HEX-Fluid enters Combustion chamber, Emission values worsen, foreign particles form in pisten (See Piston)</t>
  </si>
  <si>
    <t>Worst case: piston failure</t>
  </si>
  <si>
    <t xml:space="preserve">System target temperature to low </t>
  </si>
  <si>
    <t>s. 560 OREDA</t>
  </si>
  <si>
    <t xml:space="preserve">Incomplete combustion, Performance slump, </t>
  </si>
  <si>
    <t>incomplete combuston causes formation of particles (See Piston)</t>
  </si>
  <si>
    <t>(s.553 OREDA)</t>
  </si>
  <si>
    <t>Konzentration von betroffener Komponente sinkt in der Brennkammer; Leistungsverlust durch Luftüberschuss</t>
  </si>
  <si>
    <t>system target pressure to high; possible damaged pipe system</t>
  </si>
  <si>
    <t>s.544 OREDA</t>
  </si>
  <si>
    <t xml:space="preserve">System failure due to lack of fuel </t>
  </si>
  <si>
    <t>Wrongly system shut-off due to wrong "No fuel left" signal</t>
  </si>
  <si>
    <t>s.540 OREDA</t>
  </si>
  <si>
    <r>
      <t>Methanol</t>
    </r>
    <r>
      <rPr>
        <sz val="11"/>
        <color theme="1"/>
        <rFont val="Calibri"/>
        <family val="2"/>
        <scheme val="minor"/>
      </rPr>
      <t>: Methanole concentration in combustion chamber to low, Performance slump</t>
    </r>
  </si>
  <si>
    <r>
      <t xml:space="preserve">Hydrogen: </t>
    </r>
    <r>
      <rPr>
        <sz val="11"/>
        <color theme="1"/>
        <rFont val="Calibri"/>
        <family val="2"/>
        <scheme val="minor"/>
      </rPr>
      <t>Fire/Misfire ratio decreases, Performance slump</t>
    </r>
  </si>
  <si>
    <r>
      <t>Luft</t>
    </r>
    <r>
      <rPr>
        <sz val="11"/>
        <color theme="1"/>
        <rFont val="Calibri"/>
        <family val="2"/>
        <scheme val="minor"/>
      </rPr>
      <t>: Incomplete Combustion; Performance slump; Emission values worsen</t>
    </r>
  </si>
  <si>
    <t>s. 540 OREDA</t>
  </si>
  <si>
    <r>
      <t xml:space="preserve">Methanol: </t>
    </r>
    <r>
      <rPr>
        <sz val="11"/>
        <color theme="1"/>
        <rFont val="Calibri"/>
        <family val="2"/>
        <scheme val="minor"/>
      </rPr>
      <t>Methanole concentration in combustion chamber to high, Emission values worsen</t>
    </r>
  </si>
  <si>
    <r>
      <t>Hydrogen</t>
    </r>
    <r>
      <rPr>
        <sz val="11"/>
        <color theme="1"/>
        <rFont val="Calibri"/>
        <family val="2"/>
        <scheme val="minor"/>
      </rPr>
      <t>: Incomplete Combustion</t>
    </r>
  </si>
  <si>
    <r>
      <t xml:space="preserve">Compressor 
</t>
    </r>
    <r>
      <rPr>
        <sz val="11"/>
        <color theme="1"/>
        <rFont val="Calibri"/>
        <family val="2"/>
        <scheme val="minor"/>
      </rPr>
      <t>(alle Daten für Verdichter aus OREDA s.58 ff.)</t>
    </r>
  </si>
  <si>
    <t xml:space="preserve">hydrogen partial pressure drops; Fire/Misfire ratio (temperature dependant) decreases </t>
  </si>
  <si>
    <t>Strongly temperature dependant. Can lead to System failure at low temperature</t>
  </si>
  <si>
    <t xml:space="preserve">hydrogen partial pressure drops;Fire/Misfire ratio (temperature dependant) decreases </t>
  </si>
  <si>
    <t>(s. 119 NPRD</t>
  </si>
  <si>
    <t xml:space="preserve">Insufficient closing off </t>
  </si>
  <si>
    <t>LOHC Tank</t>
  </si>
  <si>
    <t xml:space="preserve"> tank</t>
  </si>
  <si>
    <t>LOHC is set free</t>
  </si>
  <si>
    <t>Piping
(LOHC)</t>
  </si>
  <si>
    <t>Piping
(Hydrogene)</t>
  </si>
  <si>
    <t>Hydrogene is set free</t>
  </si>
  <si>
    <t>Explosion limit 4%</t>
  </si>
  <si>
    <t>No LOHC in Reactor; performance slump</t>
  </si>
  <si>
    <r>
      <t xml:space="preserve">LOHC: </t>
    </r>
    <r>
      <rPr>
        <sz val="11"/>
        <color theme="1"/>
        <rFont val="Calibri"/>
        <family val="2"/>
        <scheme val="minor"/>
      </rPr>
      <t xml:space="preserve">Not enough LOHC for decompesition resulting in to little Hydrogene </t>
    </r>
  </si>
  <si>
    <r>
      <t>Hydrogene:</t>
    </r>
    <r>
      <rPr>
        <sz val="11"/>
        <color theme="1"/>
        <rFont val="Calibri"/>
        <family val="2"/>
        <scheme val="minor"/>
      </rPr>
      <t xml:space="preserve"> Performance slump</t>
    </r>
  </si>
  <si>
    <r>
      <t xml:space="preserve">LOHC: </t>
    </r>
    <r>
      <rPr>
        <sz val="11"/>
        <color theme="1"/>
        <rFont val="Calibri"/>
        <family val="2"/>
        <scheme val="minor"/>
      </rPr>
      <t>to much LOHC leading to to high Hydrogene pressure</t>
    </r>
  </si>
  <si>
    <t>Hydrogene partial pressure drops; perfrormance slump</t>
  </si>
  <si>
    <t>Hydrogene partial pressure drops;performance slump</t>
  </si>
  <si>
    <t>Hydrogene partial pressure drops;Peformance slump</t>
  </si>
  <si>
    <t>eversible poisoning</t>
  </si>
  <si>
    <t>Dehydration Unit</t>
  </si>
  <si>
    <t xml:space="preserve">No Hydrogene for PEM, Performance Slump, LOHC and hydrogene is set free </t>
  </si>
  <si>
    <t>Demister</t>
  </si>
  <si>
    <t>Wear</t>
  </si>
  <si>
    <t>Insufficient seperation, LOHC can potentially reach the Fuelcell, Potential damage to Fuelcell</t>
  </si>
  <si>
    <t>1/(3a)</t>
  </si>
  <si>
    <t>No seperation, LOHC will reach the Fuellcell, heavy damage to Fuelcell</t>
  </si>
  <si>
    <t>Insufficient closing off, LOHC is set free</t>
  </si>
  <si>
    <t xml:space="preserve">LNG  tank </t>
  </si>
  <si>
    <t>LNG is set free</t>
  </si>
  <si>
    <t>Explosionlimit (1,5-11 Vol%)</t>
  </si>
  <si>
    <t xml:space="preserve">Piping
</t>
  </si>
  <si>
    <t>No Fuel mixtrure in combustion chamber; performance slump</t>
  </si>
  <si>
    <t>Insufficient heating, performance slump and higher Hydrocarbon content in Exaust air</t>
  </si>
  <si>
    <t>HEX-Fluid enters Combustion chamber/Axial compressor, Emission values worsen, foreign particles form</t>
  </si>
  <si>
    <t>Worst case: no Comsution due to wrong fuel mixture</t>
  </si>
  <si>
    <t>incomplete combuston causes formation of particles and causes deterioration of Emission values</t>
  </si>
  <si>
    <t>Excess of Air/Fuel in Combustion chamber, Performance slump</t>
  </si>
  <si>
    <t>emergency stop due to missing information on fuel level</t>
  </si>
  <si>
    <t>Wrongly system shut-off due to "No fuel left" signal</t>
  </si>
  <si>
    <t>Non-Ideal Fuel mixture in combustion chamber to low, performance slump</t>
  </si>
  <si>
    <r>
      <t xml:space="preserve"> Compressor 
</t>
    </r>
    <r>
      <rPr>
        <sz val="11"/>
        <color theme="1"/>
        <rFont val="Calibri"/>
        <family val="2"/>
        <scheme val="minor"/>
      </rPr>
      <t>(alle Daten für Verdichter aus OREDA s.58 ff.)</t>
    </r>
  </si>
  <si>
    <t>Rapide performance slump, due to low operating window</t>
  </si>
  <si>
    <t>Air partial pressure drops, rapide performance slump due to narrow operating window</t>
  </si>
  <si>
    <t xml:space="preserve">Pressure drops, rapide performance slump due to narrow operating window </t>
  </si>
  <si>
    <t xml:space="preserve">Pressure drops, rapid performance slump due to narrow operating window </t>
  </si>
  <si>
    <r>
      <t xml:space="preserve"> Gas engine
</t>
    </r>
    <r>
      <rPr>
        <sz val="11"/>
        <color theme="1"/>
        <rFont val="Calibri"/>
        <family val="2"/>
        <scheme val="minor"/>
      </rPr>
      <t>(Alle aus OREDA s. 257 ff.)</t>
    </r>
  </si>
  <si>
    <t>2,55/10^6</t>
  </si>
  <si>
    <t>6,01/10^6</t>
  </si>
  <si>
    <t>2,84/10^6</t>
  </si>
  <si>
    <t>Ingnition chamber (Pre-chamber)</t>
  </si>
  <si>
    <t xml:space="preserve">Partly blocked </t>
  </si>
  <si>
    <t>Higher pressure in Ignition Chamber, possible damage to Spark Plug</t>
  </si>
  <si>
    <t>Sudden Pressure increase in Ignition Chamber, possible damage to Spark Plug and Gas supply</t>
  </si>
  <si>
    <t>Wear of the Jet holes</t>
  </si>
  <si>
    <t>Vaporizer</t>
  </si>
  <si>
    <t>No Gas available in the combustion chamber</t>
  </si>
  <si>
    <t>1/33000  S.37 CCPS</t>
  </si>
  <si>
    <t>Insufficient heating; performance slump and higher Hydrocarbon content in Exaust air</t>
  </si>
  <si>
    <t>s. 408 OREDA</t>
  </si>
  <si>
    <r>
      <t xml:space="preserve">Air Compressor 
</t>
    </r>
    <r>
      <rPr>
        <sz val="11"/>
        <color theme="1"/>
        <rFont val="Calibri"/>
        <family val="2"/>
        <scheme val="minor"/>
      </rPr>
      <t>(alle Daten für Verdichter aus OREDA s.58 ff.)</t>
    </r>
  </si>
  <si>
    <t>Air partial pressure drops, Performance slump</t>
  </si>
  <si>
    <t>Gas Turbine (OREDA s. 150)</t>
  </si>
  <si>
    <t>Axial Compressor</t>
  </si>
  <si>
    <t>Combustionquality decreases, Performance plump</t>
  </si>
  <si>
    <t>12,03/10^6</t>
  </si>
  <si>
    <t>Air preasure Drops, System failure</t>
  </si>
  <si>
    <t>1,68/10^6</t>
  </si>
  <si>
    <t>Turbine Exit Shaft</t>
  </si>
  <si>
    <t>Performance slump due to higher Friction</t>
  </si>
  <si>
    <t>31,5/10^6</t>
  </si>
  <si>
    <t>No energy conversion, System failure</t>
  </si>
  <si>
    <t>2,98/10^6</t>
  </si>
  <si>
    <t>Blocked due to Particles</t>
  </si>
  <si>
    <t>Depends on the degree of blockage</t>
  </si>
  <si>
    <t>low to medium degree of blockage</t>
  </si>
  <si>
    <t>total blockage: sudden Preasure increase</t>
  </si>
  <si>
    <t>Combustion Chamber</t>
  </si>
  <si>
    <t>Incomplete Combustion</t>
  </si>
  <si>
    <t>Deposits (Particle formation)</t>
  </si>
  <si>
    <t>14,48/10^6</t>
  </si>
  <si>
    <t>Turbine blades</t>
  </si>
  <si>
    <t>Wear, due to particle abrassion</t>
  </si>
  <si>
    <t>Performance slump</t>
  </si>
  <si>
    <t>depends on the degree of Bladedestruction</t>
  </si>
  <si>
    <t>5,28/10^6</t>
  </si>
  <si>
    <t>catalytic converter</t>
  </si>
  <si>
    <t>Catalyst</t>
  </si>
  <si>
    <t>Higher content of deactivating components in exhaust air</t>
  </si>
  <si>
    <t>No/less decomposition of potentially harmful residues</t>
  </si>
  <si>
    <t>1/5714,29*</t>
  </si>
  <si>
    <t>Casing</t>
  </si>
  <si>
    <t>Pressure build up</t>
  </si>
  <si>
    <t>1/14,2012*10^6        (p. 119 NRPD)</t>
  </si>
  <si>
    <t>Natrual gas is set free</t>
  </si>
  <si>
    <t>* assumption: live time of the catalyst of 160000 km. With an average speed of approx. 28 km/h this corresponds to 1 failure every 5714.29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</si>
</sst>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164" fontId="0" fillId="0" borderId="3" xfId="0" applyNumberFormat="1" applyFill="1" applyBorder="1" applyAlignment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164" fontId="0" fillId="0" borderId="5" xfId="0" applyNumberFormat="1" applyFill="1" applyBorder="1" applyAlignment="1">
      <alignment horizontal="center" vertical="center"/>
    </xf>
    <xf numFmtId="164" fontId="0" fillId="0" borderId="6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12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Fill="1" applyBorder="1"/>
    <xf numFmtId="0" fontId="0" fillId="0" borderId="1" xfId="0" applyNumberFormat="1" applyFill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NumberForma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Fill="1"/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 wrapText="1"/>
    </xf>
    <xf numFmtId="16" fontId="0" fillId="0" borderId="8" xfId="0" applyNumberFormat="1" applyBorder="1" applyAlignment="1">
      <alignment horizontal="center" vertical="center" wrapText="1"/>
    </xf>
    <xf numFmtId="16" fontId="0" fillId="0" borderId="4" xfId="0" applyNumberForma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5" borderId="12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vertical="center" wrapText="1"/>
    </xf>
    <xf numFmtId="0" fontId="0" fillId="5" borderId="0" xfId="0" applyFill="1"/>
    <xf numFmtId="0" fontId="0" fillId="0" borderId="8" xfId="0" applyBorder="1" applyAlignment="1">
      <alignment vertical="center"/>
    </xf>
    <xf numFmtId="0" fontId="0" fillId="0" borderId="8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0" xfId="0" applyFill="1" applyAlignment="1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12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6" sqref="C16:D16"/>
    </sheetView>
  </sheetViews>
  <sheetFormatPr baseColWidth="10" defaultColWidth="10.81640625" defaultRowHeight="14.5" x14ac:dyDescent="0.35"/>
  <cols>
    <col min="1" max="1" width="17.1796875" style="183" bestFit="1" customWidth="1"/>
    <col min="2" max="2" width="39.26953125" style="184" bestFit="1" customWidth="1"/>
    <col min="3" max="3" width="15.453125" style="127" customWidth="1"/>
    <col min="4" max="4" width="23.26953125" style="127" customWidth="1"/>
    <col min="5" max="5" width="50.26953125" style="184" customWidth="1"/>
    <col min="6" max="6" width="10.81640625" style="184"/>
    <col min="7" max="7" width="18.81640625" style="184" customWidth="1"/>
    <col min="8" max="8" width="9.54296875" style="216" customWidth="1"/>
    <col min="9" max="9" width="18.453125" style="184" customWidth="1"/>
    <col min="10" max="10" width="17.1796875" style="127" customWidth="1"/>
    <col min="11" max="11" width="12" style="127" bestFit="1" customWidth="1"/>
    <col min="12" max="12" width="10.81640625" style="127" customWidth="1"/>
    <col min="13" max="16384" width="10.81640625" style="127"/>
  </cols>
  <sheetData>
    <row r="1" spans="1:13" ht="14.5" customHeight="1" x14ac:dyDescent="0.35">
      <c r="A1" s="1" t="s">
        <v>0</v>
      </c>
      <c r="B1" s="1" t="s">
        <v>1</v>
      </c>
      <c r="C1" s="120" t="s">
        <v>2</v>
      </c>
      <c r="D1" s="121"/>
      <c r="E1" s="1" t="s">
        <v>3</v>
      </c>
      <c r="F1" s="122" t="s">
        <v>4</v>
      </c>
      <c r="G1" s="123"/>
      <c r="H1" s="6" t="s">
        <v>5</v>
      </c>
      <c r="I1" s="124" t="s">
        <v>6</v>
      </c>
      <c r="J1" s="125" t="s">
        <v>7</v>
      </c>
      <c r="K1" s="125" t="s">
        <v>8</v>
      </c>
      <c r="L1" s="126"/>
      <c r="M1" s="125" t="s">
        <v>9</v>
      </c>
    </row>
    <row r="2" spans="1:13" ht="15" thickBot="1" x14ac:dyDescent="0.4">
      <c r="A2" s="10"/>
      <c r="B2" s="10"/>
      <c r="C2" s="128"/>
      <c r="D2" s="129"/>
      <c r="E2" s="10"/>
      <c r="F2" s="130" t="s">
        <v>10</v>
      </c>
      <c r="G2" s="131"/>
      <c r="H2" s="15"/>
      <c r="I2" s="75" t="s">
        <v>11</v>
      </c>
      <c r="J2" s="132" t="s">
        <v>12</v>
      </c>
      <c r="K2" s="132" t="s">
        <v>13</v>
      </c>
      <c r="L2" s="133"/>
      <c r="M2" s="132"/>
    </row>
    <row r="3" spans="1:13" x14ac:dyDescent="0.35">
      <c r="A3" s="1" t="s">
        <v>14</v>
      </c>
      <c r="B3" s="19" t="s">
        <v>174</v>
      </c>
      <c r="C3" s="134" t="s">
        <v>16</v>
      </c>
      <c r="D3" s="135"/>
      <c r="E3" s="19" t="s">
        <v>284</v>
      </c>
      <c r="F3" s="22" t="s">
        <v>285</v>
      </c>
      <c r="G3" s="23"/>
      <c r="H3" s="24">
        <v>8</v>
      </c>
      <c r="I3" s="67" t="s">
        <v>19</v>
      </c>
      <c r="J3" s="68">
        <f>2.87/10^6</f>
        <v>2.8700000000000001E-6</v>
      </c>
      <c r="K3" s="102">
        <f>SUM(J3:J5)</f>
        <v>3.8549999999999995E-6</v>
      </c>
      <c r="L3" s="103"/>
      <c r="M3" s="68">
        <v>2</v>
      </c>
    </row>
    <row r="4" spans="1:13" ht="15" thickBot="1" x14ac:dyDescent="0.4">
      <c r="A4" s="29"/>
      <c r="B4" s="30"/>
      <c r="C4" s="136"/>
      <c r="D4" s="137"/>
      <c r="E4" s="33"/>
      <c r="F4" s="34"/>
      <c r="G4" s="35"/>
      <c r="H4" s="36"/>
      <c r="I4" s="59" t="s">
        <v>314</v>
      </c>
      <c r="J4" s="69"/>
      <c r="K4" s="105"/>
      <c r="L4" s="106"/>
      <c r="M4" s="71"/>
    </row>
    <row r="5" spans="1:13" ht="15" customHeight="1" x14ac:dyDescent="0.35">
      <c r="A5" s="29"/>
      <c r="B5" s="30"/>
      <c r="C5" s="134" t="s">
        <v>21</v>
      </c>
      <c r="D5" s="135"/>
      <c r="E5" s="19" t="s">
        <v>284</v>
      </c>
      <c r="F5" s="42" t="s">
        <v>285</v>
      </c>
      <c r="G5" s="43"/>
      <c r="H5" s="24">
        <v>9</v>
      </c>
      <c r="I5" s="67" t="s">
        <v>22</v>
      </c>
      <c r="J5" s="68">
        <f>0.985/10^6</f>
        <v>9.8499999999999989E-7</v>
      </c>
      <c r="K5" s="105"/>
      <c r="L5" s="106"/>
      <c r="M5" s="71"/>
    </row>
    <row r="6" spans="1:13" x14ac:dyDescent="0.35">
      <c r="A6" s="29"/>
      <c r="B6" s="30"/>
      <c r="C6" s="172"/>
      <c r="D6" s="173"/>
      <c r="E6" s="30"/>
      <c r="F6" s="46"/>
      <c r="G6" s="47"/>
      <c r="H6" s="48"/>
      <c r="I6" s="30" t="s">
        <v>178</v>
      </c>
      <c r="J6" s="71"/>
      <c r="K6" s="105"/>
      <c r="L6" s="106"/>
      <c r="M6" s="71"/>
    </row>
    <row r="7" spans="1:13" ht="15" customHeight="1" x14ac:dyDescent="0.35">
      <c r="A7" s="29"/>
      <c r="B7" s="30"/>
      <c r="C7" s="172"/>
      <c r="D7" s="173"/>
      <c r="E7" s="30"/>
      <c r="F7" s="46"/>
      <c r="G7" s="47"/>
      <c r="H7" s="48"/>
      <c r="I7" s="30"/>
      <c r="J7" s="71"/>
      <c r="K7" s="105"/>
      <c r="L7" s="106"/>
      <c r="M7" s="71"/>
    </row>
    <row r="8" spans="1:13" x14ac:dyDescent="0.35">
      <c r="A8" s="29"/>
      <c r="B8" s="30"/>
      <c r="C8" s="172"/>
      <c r="D8" s="173"/>
      <c r="E8" s="30"/>
      <c r="F8" s="46"/>
      <c r="G8" s="47"/>
      <c r="H8" s="48"/>
      <c r="I8" s="30"/>
      <c r="J8" s="71"/>
      <c r="K8" s="105"/>
      <c r="L8" s="106"/>
      <c r="M8" s="71"/>
    </row>
    <row r="9" spans="1:13" ht="15" customHeight="1" x14ac:dyDescent="0.35">
      <c r="A9" s="29"/>
      <c r="B9" s="30"/>
      <c r="C9" s="172"/>
      <c r="D9" s="173"/>
      <c r="E9" s="30"/>
      <c r="F9" s="46"/>
      <c r="G9" s="47"/>
      <c r="H9" s="48"/>
      <c r="I9" s="30"/>
      <c r="J9" s="71"/>
      <c r="K9" s="105"/>
      <c r="L9" s="106"/>
      <c r="M9" s="71"/>
    </row>
    <row r="10" spans="1:13" ht="15" thickBot="1" x14ac:dyDescent="0.4">
      <c r="A10" s="10"/>
      <c r="B10" s="33"/>
      <c r="C10" s="136"/>
      <c r="D10" s="137"/>
      <c r="E10" s="33"/>
      <c r="F10" s="55"/>
      <c r="G10" s="56"/>
      <c r="H10" s="36"/>
      <c r="I10" s="33"/>
      <c r="J10" s="69"/>
      <c r="K10" s="109"/>
      <c r="L10" s="110"/>
      <c r="M10" s="69"/>
    </row>
    <row r="11" spans="1:13" ht="15" thickBot="1" x14ac:dyDescent="0.4">
      <c r="A11" s="1" t="s">
        <v>184</v>
      </c>
      <c r="B11" s="59" t="s">
        <v>28</v>
      </c>
      <c r="C11" s="144" t="s">
        <v>16</v>
      </c>
      <c r="D11" s="145"/>
      <c r="E11" s="59" t="s">
        <v>284</v>
      </c>
      <c r="F11" s="62" t="s">
        <v>285</v>
      </c>
      <c r="G11" s="63"/>
      <c r="H11" s="37">
        <v>4</v>
      </c>
      <c r="I11" s="59" t="s">
        <v>29</v>
      </c>
      <c r="J11" s="64">
        <f>7.07/10^6</f>
        <v>7.0700000000000001E-6</v>
      </c>
      <c r="K11" s="102">
        <f>SUM(J11:J16)</f>
        <v>3.3089999999999997E-5</v>
      </c>
      <c r="L11" s="103"/>
      <c r="M11" s="68">
        <v>2</v>
      </c>
    </row>
    <row r="12" spans="1:13" ht="15" thickBot="1" x14ac:dyDescent="0.4">
      <c r="A12" s="29"/>
      <c r="B12" s="59" t="s">
        <v>30</v>
      </c>
      <c r="C12" s="144" t="s">
        <v>21</v>
      </c>
      <c r="D12" s="145"/>
      <c r="E12" s="59" t="s">
        <v>31</v>
      </c>
      <c r="F12" s="65"/>
      <c r="G12" s="66"/>
      <c r="H12" s="37">
        <v>7</v>
      </c>
      <c r="I12" s="59" t="s">
        <v>32</v>
      </c>
      <c r="J12" s="64">
        <f>1.24/10^6</f>
        <v>1.24E-6</v>
      </c>
      <c r="K12" s="105"/>
      <c r="L12" s="106"/>
      <c r="M12" s="71"/>
    </row>
    <row r="13" spans="1:13" x14ac:dyDescent="0.35">
      <c r="A13" s="29"/>
      <c r="B13" s="19" t="s">
        <v>33</v>
      </c>
      <c r="C13" s="134" t="s">
        <v>34</v>
      </c>
      <c r="D13" s="135"/>
      <c r="E13" s="67" t="s">
        <v>35</v>
      </c>
      <c r="F13" s="22" t="s">
        <v>36</v>
      </c>
      <c r="G13" s="23"/>
      <c r="H13" s="24">
        <v>6</v>
      </c>
      <c r="I13" s="19" t="s">
        <v>37</v>
      </c>
      <c r="J13" s="68">
        <f>0.6/10^6</f>
        <v>5.9999999999999997E-7</v>
      </c>
      <c r="K13" s="105"/>
      <c r="L13" s="106"/>
      <c r="M13" s="71"/>
    </row>
    <row r="14" spans="1:13" ht="15" customHeight="1" thickBot="1" x14ac:dyDescent="0.4">
      <c r="A14" s="29"/>
      <c r="B14" s="30"/>
      <c r="C14" s="136"/>
      <c r="D14" s="137"/>
      <c r="E14" s="59" t="s">
        <v>38</v>
      </c>
      <c r="F14" s="34"/>
      <c r="G14" s="35"/>
      <c r="H14" s="36"/>
      <c r="I14" s="33"/>
      <c r="J14" s="69"/>
      <c r="K14" s="105"/>
      <c r="L14" s="106"/>
      <c r="M14" s="71"/>
    </row>
    <row r="15" spans="1:13" ht="15" thickBot="1" x14ac:dyDescent="0.4">
      <c r="A15" s="29"/>
      <c r="B15" s="33"/>
      <c r="C15" s="144" t="s">
        <v>39</v>
      </c>
      <c r="D15" s="145"/>
      <c r="E15" s="59" t="s">
        <v>31</v>
      </c>
      <c r="F15" s="65"/>
      <c r="G15" s="66"/>
      <c r="H15" s="37">
        <v>6</v>
      </c>
      <c r="I15" s="59" t="s">
        <v>40</v>
      </c>
      <c r="J15" s="64">
        <f>19.07/10^6</f>
        <v>1.9069999999999999E-5</v>
      </c>
      <c r="K15" s="105"/>
      <c r="L15" s="106"/>
      <c r="M15" s="71"/>
    </row>
    <row r="16" spans="1:13" ht="15" thickBot="1" x14ac:dyDescent="0.4">
      <c r="A16" s="10"/>
      <c r="B16" s="59" t="s">
        <v>41</v>
      </c>
      <c r="C16" s="144" t="s">
        <v>39</v>
      </c>
      <c r="D16" s="145"/>
      <c r="E16" s="59" t="s">
        <v>31</v>
      </c>
      <c r="F16" s="65"/>
      <c r="G16" s="66"/>
      <c r="H16" s="37">
        <v>6</v>
      </c>
      <c r="I16" s="59" t="s">
        <v>42</v>
      </c>
      <c r="J16" s="64">
        <f>5.11/10^6</f>
        <v>5.1100000000000002E-6</v>
      </c>
      <c r="K16" s="109"/>
      <c r="L16" s="110"/>
      <c r="M16" s="69"/>
    </row>
    <row r="17" spans="1:13" ht="15" thickBot="1" x14ac:dyDescent="0.4">
      <c r="A17" s="1" t="s">
        <v>286</v>
      </c>
      <c r="B17" s="19" t="s">
        <v>44</v>
      </c>
      <c r="C17" s="144" t="s">
        <v>45</v>
      </c>
      <c r="D17" s="145"/>
      <c r="E17" s="59" t="s">
        <v>284</v>
      </c>
      <c r="F17" s="62" t="s">
        <v>285</v>
      </c>
      <c r="G17" s="63"/>
      <c r="H17" s="37">
        <v>4</v>
      </c>
      <c r="I17" s="67" t="s">
        <v>46</v>
      </c>
      <c r="J17" s="68">
        <f>0.57/10^6</f>
        <v>5.6999999999999994E-7</v>
      </c>
      <c r="K17" s="102">
        <f>SUM(J17:J26)</f>
        <v>1.4249999999999999E-6</v>
      </c>
      <c r="L17" s="103"/>
      <c r="M17" s="68">
        <v>2</v>
      </c>
    </row>
    <row r="18" spans="1:13" ht="15" thickBot="1" x14ac:dyDescent="0.4">
      <c r="A18" s="29"/>
      <c r="B18" s="30"/>
      <c r="C18" s="144" t="s">
        <v>16</v>
      </c>
      <c r="D18" s="145"/>
      <c r="E18" s="59" t="s">
        <v>284</v>
      </c>
      <c r="F18" s="62" t="s">
        <v>285</v>
      </c>
      <c r="G18" s="63"/>
      <c r="H18" s="37">
        <v>4</v>
      </c>
      <c r="I18" s="67" t="s">
        <v>186</v>
      </c>
      <c r="J18" s="71"/>
      <c r="K18" s="105"/>
      <c r="L18" s="106"/>
      <c r="M18" s="71"/>
    </row>
    <row r="19" spans="1:13" x14ac:dyDescent="0.35">
      <c r="A19" s="29"/>
      <c r="B19" s="30"/>
      <c r="C19" s="134" t="s">
        <v>21</v>
      </c>
      <c r="D19" s="135"/>
      <c r="E19" s="19" t="s">
        <v>284</v>
      </c>
      <c r="F19" s="42" t="s">
        <v>285</v>
      </c>
      <c r="G19" s="43"/>
      <c r="H19" s="24">
        <v>6</v>
      </c>
      <c r="I19" s="67"/>
      <c r="J19" s="71"/>
      <c r="K19" s="105"/>
      <c r="L19" s="106"/>
      <c r="M19" s="71"/>
    </row>
    <row r="20" spans="1:13" ht="28.5" customHeight="1" thickBot="1" x14ac:dyDescent="0.4">
      <c r="A20" s="29"/>
      <c r="B20" s="33"/>
      <c r="C20" s="136"/>
      <c r="D20" s="137"/>
      <c r="E20" s="33"/>
      <c r="F20" s="55"/>
      <c r="G20" s="56"/>
      <c r="H20" s="36"/>
      <c r="I20" s="59"/>
      <c r="J20" s="69"/>
      <c r="K20" s="105"/>
      <c r="L20" s="106"/>
      <c r="M20" s="71"/>
    </row>
    <row r="21" spans="1:13" ht="15" thickBot="1" x14ac:dyDescent="0.4">
      <c r="A21" s="29"/>
      <c r="B21" s="19" t="s">
        <v>48</v>
      </c>
      <c r="C21" s="146" t="s">
        <v>16</v>
      </c>
      <c r="D21" s="147"/>
      <c r="E21" s="59" t="s">
        <v>284</v>
      </c>
      <c r="F21" s="62" t="s">
        <v>285</v>
      </c>
      <c r="G21" s="63"/>
      <c r="H21" s="37">
        <v>4</v>
      </c>
      <c r="I21" s="67" t="s">
        <v>49</v>
      </c>
      <c r="J21" s="68">
        <f>0.855/10^6</f>
        <v>8.5499999999999997E-7</v>
      </c>
      <c r="K21" s="105"/>
      <c r="L21" s="106"/>
      <c r="M21" s="71"/>
    </row>
    <row r="22" spans="1:13" ht="15" thickBot="1" x14ac:dyDescent="0.4">
      <c r="A22" s="29"/>
      <c r="B22" s="30"/>
      <c r="C22" s="146" t="s">
        <v>21</v>
      </c>
      <c r="D22" s="147"/>
      <c r="E22" s="59" t="s">
        <v>284</v>
      </c>
      <c r="F22" s="65" t="s">
        <v>285</v>
      </c>
      <c r="G22" s="66"/>
      <c r="H22" s="37">
        <v>6</v>
      </c>
      <c r="I22" s="67" t="s">
        <v>187</v>
      </c>
      <c r="J22" s="71"/>
      <c r="K22" s="105"/>
      <c r="L22" s="106"/>
      <c r="M22" s="71"/>
    </row>
    <row r="23" spans="1:13" ht="15" thickBot="1" x14ac:dyDescent="0.4">
      <c r="A23" s="29"/>
      <c r="B23" s="30"/>
      <c r="C23" s="146" t="s">
        <v>51</v>
      </c>
      <c r="D23" s="147"/>
      <c r="E23" s="59" t="s">
        <v>31</v>
      </c>
      <c r="F23" s="62"/>
      <c r="G23" s="63"/>
      <c r="H23" s="37">
        <v>5</v>
      </c>
      <c r="I23" s="59"/>
      <c r="J23" s="69"/>
      <c r="K23" s="105"/>
      <c r="L23" s="106"/>
      <c r="M23" s="71"/>
    </row>
    <row r="24" spans="1:13" x14ac:dyDescent="0.35">
      <c r="A24" s="29"/>
      <c r="B24" s="30"/>
      <c r="C24" s="148" t="s">
        <v>52</v>
      </c>
      <c r="D24" s="149"/>
      <c r="E24" s="19" t="s">
        <v>31</v>
      </c>
      <c r="F24" s="42"/>
      <c r="G24" s="43"/>
      <c r="H24" s="24">
        <v>6</v>
      </c>
      <c r="I24" s="19" t="s">
        <v>24</v>
      </c>
      <c r="J24" s="125"/>
      <c r="K24" s="105"/>
      <c r="L24" s="106"/>
      <c r="M24" s="71"/>
    </row>
    <row r="25" spans="1:13" ht="15" customHeight="1" x14ac:dyDescent="0.35">
      <c r="A25" s="29"/>
      <c r="B25" s="30"/>
      <c r="C25" s="151"/>
      <c r="D25" s="152"/>
      <c r="E25" s="30"/>
      <c r="F25" s="46"/>
      <c r="G25" s="47"/>
      <c r="H25" s="48"/>
      <c r="I25" s="30"/>
      <c r="J25" s="200"/>
      <c r="K25" s="105"/>
      <c r="L25" s="106"/>
      <c r="M25" s="71"/>
    </row>
    <row r="26" spans="1:13" ht="45.75" customHeight="1" thickBot="1" x14ac:dyDescent="0.4">
      <c r="A26" s="10"/>
      <c r="B26" s="33"/>
      <c r="C26" s="154"/>
      <c r="D26" s="155"/>
      <c r="E26" s="33"/>
      <c r="F26" s="55"/>
      <c r="G26" s="56"/>
      <c r="H26" s="36"/>
      <c r="I26" s="33"/>
      <c r="J26" s="200"/>
      <c r="K26" s="109"/>
      <c r="L26" s="110"/>
      <c r="M26" s="69"/>
    </row>
    <row r="27" spans="1:13" x14ac:dyDescent="0.35">
      <c r="A27" s="1" t="s">
        <v>232</v>
      </c>
      <c r="B27" s="19"/>
      <c r="C27" s="148" t="s">
        <v>52</v>
      </c>
      <c r="D27" s="149"/>
      <c r="E27" s="19" t="s">
        <v>287</v>
      </c>
      <c r="F27" s="42"/>
      <c r="G27" s="43"/>
      <c r="H27" s="24">
        <v>4</v>
      </c>
      <c r="I27" s="19" t="s">
        <v>55</v>
      </c>
      <c r="J27" s="68">
        <f>2/10^6</f>
        <v>1.9999999999999999E-6</v>
      </c>
      <c r="K27" s="102">
        <f>SUM(J27:J37)</f>
        <v>1.6170000000000003E-5</v>
      </c>
      <c r="L27" s="103"/>
      <c r="M27" s="68">
        <v>2</v>
      </c>
    </row>
    <row r="28" spans="1:13" ht="15" thickBot="1" x14ac:dyDescent="0.4">
      <c r="A28" s="29"/>
      <c r="B28" s="30"/>
      <c r="C28" s="154"/>
      <c r="D28" s="155"/>
      <c r="E28" s="33"/>
      <c r="F28" s="55"/>
      <c r="G28" s="56"/>
      <c r="H28" s="36"/>
      <c r="I28" s="33"/>
      <c r="J28" s="69"/>
      <c r="K28" s="105"/>
      <c r="L28" s="106"/>
      <c r="M28" s="71"/>
    </row>
    <row r="29" spans="1:13" x14ac:dyDescent="0.35">
      <c r="A29" s="29"/>
      <c r="B29" s="30"/>
      <c r="C29" s="148" t="s">
        <v>56</v>
      </c>
      <c r="D29" s="149"/>
      <c r="E29" s="19" t="s">
        <v>288</v>
      </c>
      <c r="F29" s="42"/>
      <c r="G29" s="43"/>
      <c r="H29" s="24">
        <v>7</v>
      </c>
      <c r="I29" s="19" t="s">
        <v>58</v>
      </c>
      <c r="J29" s="68">
        <f>4.02/10^6</f>
        <v>4.0199999999999996E-6</v>
      </c>
      <c r="K29" s="105"/>
      <c r="L29" s="106"/>
      <c r="M29" s="71"/>
    </row>
    <row r="30" spans="1:13" x14ac:dyDescent="0.35">
      <c r="A30" s="29"/>
      <c r="B30" s="30"/>
      <c r="C30" s="151"/>
      <c r="D30" s="152"/>
      <c r="E30" s="30"/>
      <c r="F30" s="46"/>
      <c r="G30" s="47"/>
      <c r="H30" s="48"/>
      <c r="I30" s="30"/>
      <c r="J30" s="71"/>
      <c r="K30" s="105"/>
      <c r="L30" s="106"/>
      <c r="M30" s="71"/>
    </row>
    <row r="31" spans="1:13" x14ac:dyDescent="0.35">
      <c r="A31" s="29"/>
      <c r="B31" s="30"/>
      <c r="C31" s="151"/>
      <c r="D31" s="152"/>
      <c r="E31" s="30"/>
      <c r="F31" s="46"/>
      <c r="G31" s="47"/>
      <c r="H31" s="48"/>
      <c r="I31" s="30"/>
      <c r="J31" s="71"/>
      <c r="K31" s="105"/>
      <c r="L31" s="106"/>
      <c r="M31" s="71"/>
    </row>
    <row r="32" spans="1:13" x14ac:dyDescent="0.35">
      <c r="A32" s="29"/>
      <c r="B32" s="30"/>
      <c r="C32" s="151"/>
      <c r="D32" s="152"/>
      <c r="E32" s="30"/>
      <c r="F32" s="46"/>
      <c r="G32" s="47"/>
      <c r="H32" s="48"/>
      <c r="I32" s="30"/>
      <c r="J32" s="71"/>
      <c r="K32" s="105"/>
      <c r="L32" s="106"/>
      <c r="M32" s="71"/>
    </row>
    <row r="33" spans="1:13" x14ac:dyDescent="0.35">
      <c r="A33" s="29"/>
      <c r="B33" s="30"/>
      <c r="C33" s="151"/>
      <c r="D33" s="152"/>
      <c r="E33" s="30"/>
      <c r="F33" s="46"/>
      <c r="G33" s="47"/>
      <c r="H33" s="48"/>
      <c r="I33" s="30"/>
      <c r="J33" s="71"/>
      <c r="K33" s="105"/>
      <c r="L33" s="106"/>
      <c r="M33" s="71"/>
    </row>
    <row r="34" spans="1:13" ht="15.75" customHeight="1" thickBot="1" x14ac:dyDescent="0.4">
      <c r="A34" s="29"/>
      <c r="B34" s="30"/>
      <c r="C34" s="154"/>
      <c r="D34" s="155"/>
      <c r="E34" s="33"/>
      <c r="F34" s="55"/>
      <c r="G34" s="56"/>
      <c r="H34" s="36"/>
      <c r="I34" s="33"/>
      <c r="J34" s="69"/>
      <c r="K34" s="105"/>
      <c r="L34" s="106"/>
      <c r="M34" s="71"/>
    </row>
    <row r="35" spans="1:13" ht="28.5" customHeight="1" x14ac:dyDescent="0.35">
      <c r="A35" s="29"/>
      <c r="B35" s="30"/>
      <c r="C35" s="148" t="s">
        <v>59</v>
      </c>
      <c r="D35" s="149"/>
      <c r="E35" s="19" t="s">
        <v>289</v>
      </c>
      <c r="F35" s="174"/>
      <c r="G35" s="175" t="s">
        <v>290</v>
      </c>
      <c r="H35" s="24">
        <v>9</v>
      </c>
      <c r="I35" s="19" t="s">
        <v>62</v>
      </c>
      <c r="J35" s="68">
        <f>10.15/10^6</f>
        <v>1.0150000000000001E-5</v>
      </c>
      <c r="K35" s="105"/>
      <c r="L35" s="106"/>
      <c r="M35" s="71"/>
    </row>
    <row r="36" spans="1:13" ht="15.75" customHeight="1" x14ac:dyDescent="0.35">
      <c r="A36" s="29"/>
      <c r="B36" s="30"/>
      <c r="C36" s="151"/>
      <c r="D36" s="152"/>
      <c r="E36" s="30"/>
      <c r="F36" s="176"/>
      <c r="G36" s="177"/>
      <c r="H36" s="48"/>
      <c r="I36" s="30"/>
      <c r="J36" s="71"/>
      <c r="K36" s="105"/>
      <c r="L36" s="106"/>
      <c r="M36" s="71"/>
    </row>
    <row r="37" spans="1:13" ht="15" thickBot="1" x14ac:dyDescent="0.4">
      <c r="A37" s="10"/>
      <c r="B37" s="33"/>
      <c r="C37" s="154"/>
      <c r="D37" s="155"/>
      <c r="E37" s="33"/>
      <c r="F37" s="178"/>
      <c r="G37" s="179"/>
      <c r="H37" s="36"/>
      <c r="I37" s="33"/>
      <c r="J37" s="69"/>
      <c r="K37" s="109"/>
      <c r="L37" s="110"/>
      <c r="M37" s="69"/>
    </row>
    <row r="38" spans="1:13" ht="29.5" thickBot="1" x14ac:dyDescent="0.4">
      <c r="A38" s="1" t="s">
        <v>63</v>
      </c>
      <c r="B38" s="19" t="s">
        <v>64</v>
      </c>
      <c r="C38" s="146" t="s">
        <v>65</v>
      </c>
      <c r="D38" s="147"/>
      <c r="E38" s="59" t="s">
        <v>66</v>
      </c>
      <c r="F38" s="65"/>
      <c r="G38" s="66"/>
      <c r="H38" s="37">
        <v>5</v>
      </c>
      <c r="I38" s="67" t="s">
        <v>67</v>
      </c>
      <c r="J38" s="68">
        <f>2.33/10^6</f>
        <v>2.3300000000000001E-6</v>
      </c>
      <c r="K38" s="102">
        <f>SUM(J38:J43)</f>
        <v>2.3300000000000001E-6</v>
      </c>
      <c r="L38" s="103"/>
      <c r="M38" s="68">
        <v>2</v>
      </c>
    </row>
    <row r="39" spans="1:13" x14ac:dyDescent="0.35">
      <c r="A39" s="29"/>
      <c r="B39" s="30"/>
      <c r="C39" s="148" t="s">
        <v>68</v>
      </c>
      <c r="D39" s="149"/>
      <c r="E39" s="67" t="s">
        <v>237</v>
      </c>
      <c r="F39" s="22"/>
      <c r="G39" s="23"/>
      <c r="H39" s="24">
        <v>5</v>
      </c>
      <c r="I39" s="67" t="s">
        <v>238</v>
      </c>
      <c r="J39" s="71"/>
      <c r="K39" s="105"/>
      <c r="L39" s="106"/>
      <c r="M39" s="71"/>
    </row>
    <row r="40" spans="1:13" x14ac:dyDescent="0.35">
      <c r="A40" s="29"/>
      <c r="B40" s="30"/>
      <c r="C40" s="151"/>
      <c r="D40" s="152"/>
      <c r="E40" s="67" t="s">
        <v>239</v>
      </c>
      <c r="F40" s="72"/>
      <c r="G40" s="73"/>
      <c r="H40" s="48"/>
      <c r="I40" s="67"/>
      <c r="J40" s="71"/>
      <c r="K40" s="105"/>
      <c r="L40" s="106"/>
      <c r="M40" s="71"/>
    </row>
    <row r="41" spans="1:13" ht="29.5" thickBot="1" x14ac:dyDescent="0.4">
      <c r="A41" s="29"/>
      <c r="B41" s="30"/>
      <c r="C41" s="154"/>
      <c r="D41" s="155"/>
      <c r="E41" s="59" t="s">
        <v>291</v>
      </c>
      <c r="F41" s="34"/>
      <c r="G41" s="35"/>
      <c r="H41" s="36"/>
      <c r="I41" s="67"/>
      <c r="J41" s="71"/>
      <c r="K41" s="105"/>
      <c r="L41" s="106"/>
      <c r="M41" s="71"/>
    </row>
    <row r="42" spans="1:13" x14ac:dyDescent="0.35">
      <c r="A42" s="29"/>
      <c r="B42" s="30"/>
      <c r="C42" s="148" t="s">
        <v>72</v>
      </c>
      <c r="D42" s="149"/>
      <c r="E42" s="19" t="s">
        <v>73</v>
      </c>
      <c r="F42" s="22"/>
      <c r="G42" s="23"/>
      <c r="H42" s="24">
        <v>5</v>
      </c>
      <c r="I42" s="67"/>
      <c r="J42" s="71"/>
      <c r="K42" s="105"/>
      <c r="L42" s="106"/>
      <c r="M42" s="71"/>
    </row>
    <row r="43" spans="1:13" ht="15" thickBot="1" x14ac:dyDescent="0.4">
      <c r="A43" s="29"/>
      <c r="B43" s="33"/>
      <c r="C43" s="154"/>
      <c r="D43" s="155"/>
      <c r="E43" s="33"/>
      <c r="F43" s="34"/>
      <c r="G43" s="35"/>
      <c r="H43" s="36"/>
      <c r="I43" s="59"/>
      <c r="J43" s="69"/>
      <c r="K43" s="109"/>
      <c r="L43" s="110"/>
      <c r="M43" s="69"/>
    </row>
    <row r="44" spans="1:13" ht="15" thickBot="1" x14ac:dyDescent="0.4">
      <c r="A44" s="29"/>
      <c r="B44" s="19" t="s">
        <v>74</v>
      </c>
      <c r="C44" s="146" t="s">
        <v>65</v>
      </c>
      <c r="D44" s="147"/>
      <c r="E44" s="59" t="s">
        <v>75</v>
      </c>
      <c r="F44" s="65"/>
      <c r="G44" s="66"/>
      <c r="H44" s="37">
        <v>5</v>
      </c>
      <c r="I44" s="67" t="s">
        <v>76</v>
      </c>
      <c r="J44" s="68">
        <f>5.3/10^6</f>
        <v>5.3000000000000001E-6</v>
      </c>
      <c r="K44" s="102">
        <f>SUM(J44:J45)</f>
        <v>5.3000000000000001E-6</v>
      </c>
      <c r="L44" s="103"/>
      <c r="M44" s="68">
        <v>2</v>
      </c>
    </row>
    <row r="45" spans="1:13" ht="28.5" customHeight="1" x14ac:dyDescent="0.35">
      <c r="A45" s="29"/>
      <c r="B45" s="30"/>
      <c r="C45" s="148" t="s">
        <v>68</v>
      </c>
      <c r="D45" s="149"/>
      <c r="E45" s="67"/>
      <c r="F45" s="22"/>
      <c r="G45" s="23"/>
      <c r="H45" s="24">
        <v>5</v>
      </c>
      <c r="I45" s="67" t="s">
        <v>241</v>
      </c>
      <c r="J45" s="71"/>
      <c r="K45" s="105"/>
      <c r="L45" s="106"/>
      <c r="M45" s="71"/>
    </row>
    <row r="46" spans="1:13" ht="29.5" thickBot="1" x14ac:dyDescent="0.4">
      <c r="A46" s="29"/>
      <c r="B46" s="30"/>
      <c r="C46" s="154"/>
      <c r="D46" s="155"/>
      <c r="E46" s="59" t="s">
        <v>292</v>
      </c>
      <c r="F46" s="34"/>
      <c r="G46" s="35"/>
      <c r="H46" s="36"/>
      <c r="I46" s="67"/>
      <c r="J46" s="71"/>
      <c r="K46" s="105"/>
      <c r="L46" s="106"/>
      <c r="M46" s="71"/>
    </row>
    <row r="47" spans="1:13" ht="29.5" thickBot="1" x14ac:dyDescent="0.4">
      <c r="A47" s="29"/>
      <c r="B47" s="33"/>
      <c r="C47" s="146" t="s">
        <v>72</v>
      </c>
      <c r="D47" s="147"/>
      <c r="E47" s="59" t="s">
        <v>243</v>
      </c>
      <c r="F47" s="62"/>
      <c r="G47" s="63"/>
      <c r="H47" s="37">
        <v>6</v>
      </c>
      <c r="I47" s="59"/>
      <c r="J47" s="69"/>
      <c r="K47" s="109"/>
      <c r="L47" s="110"/>
      <c r="M47" s="69"/>
    </row>
    <row r="48" spans="1:13" x14ac:dyDescent="0.35">
      <c r="A48" s="29"/>
      <c r="B48" s="19" t="s">
        <v>80</v>
      </c>
      <c r="C48" s="148" t="s">
        <v>65</v>
      </c>
      <c r="D48" s="149"/>
      <c r="E48" s="19" t="s">
        <v>293</v>
      </c>
      <c r="F48" s="42"/>
      <c r="G48" s="43"/>
      <c r="H48" s="24">
        <v>5</v>
      </c>
      <c r="I48" s="67" t="s">
        <v>82</v>
      </c>
      <c r="J48" s="68">
        <f>0.46/10^6</f>
        <v>4.6000000000000004E-7</v>
      </c>
      <c r="K48" s="102">
        <f>SUM(J48:J53)</f>
        <v>1.0850000000000001E-5</v>
      </c>
      <c r="L48" s="103"/>
      <c r="M48" s="68">
        <v>3</v>
      </c>
    </row>
    <row r="49" spans="1:13" ht="15" thickBot="1" x14ac:dyDescent="0.4">
      <c r="A49" s="29"/>
      <c r="B49" s="30"/>
      <c r="C49" s="154"/>
      <c r="D49" s="155"/>
      <c r="E49" s="33"/>
      <c r="F49" s="55"/>
      <c r="G49" s="56"/>
      <c r="H49" s="36"/>
      <c r="I49" s="59" t="s">
        <v>244</v>
      </c>
      <c r="J49" s="69"/>
      <c r="K49" s="105"/>
      <c r="L49" s="106"/>
      <c r="M49" s="71"/>
    </row>
    <row r="50" spans="1:13" x14ac:dyDescent="0.35">
      <c r="A50" s="29"/>
      <c r="B50" s="30"/>
      <c r="C50" s="148" t="s">
        <v>84</v>
      </c>
      <c r="D50" s="149"/>
      <c r="E50" s="19" t="s">
        <v>245</v>
      </c>
      <c r="F50" s="42"/>
      <c r="G50" s="43"/>
      <c r="H50" s="24">
        <v>5</v>
      </c>
      <c r="I50" s="67" t="s">
        <v>86</v>
      </c>
      <c r="J50" s="68">
        <f>9.93/10^6</f>
        <v>9.9299999999999998E-6</v>
      </c>
      <c r="K50" s="105"/>
      <c r="L50" s="106"/>
      <c r="M50" s="71"/>
    </row>
    <row r="51" spans="1:13" ht="15" thickBot="1" x14ac:dyDescent="0.4">
      <c r="A51" s="29"/>
      <c r="B51" s="30"/>
      <c r="C51" s="154"/>
      <c r="D51" s="155"/>
      <c r="E51" s="33"/>
      <c r="F51" s="55"/>
      <c r="G51" s="56"/>
      <c r="H51" s="36"/>
      <c r="I51" s="59" t="s">
        <v>244</v>
      </c>
      <c r="J51" s="69"/>
      <c r="K51" s="105"/>
      <c r="L51" s="106"/>
      <c r="M51" s="71"/>
    </row>
    <row r="52" spans="1:13" x14ac:dyDescent="0.35">
      <c r="A52" s="29"/>
      <c r="B52" s="30"/>
      <c r="C52" s="148" t="s">
        <v>72</v>
      </c>
      <c r="D52" s="149"/>
      <c r="E52" s="19" t="s">
        <v>294</v>
      </c>
      <c r="F52" s="42"/>
      <c r="G52" s="43"/>
      <c r="H52" s="24">
        <v>5</v>
      </c>
      <c r="I52" s="67" t="s">
        <v>82</v>
      </c>
      <c r="J52" s="68">
        <f>0.46/10^6</f>
        <v>4.6000000000000004E-7</v>
      </c>
      <c r="K52" s="105"/>
      <c r="L52" s="106"/>
      <c r="M52" s="71"/>
    </row>
    <row r="53" spans="1:13" ht="15" thickBot="1" x14ac:dyDescent="0.4">
      <c r="A53" s="29"/>
      <c r="B53" s="33"/>
      <c r="C53" s="154"/>
      <c r="D53" s="155"/>
      <c r="E53" s="33"/>
      <c r="F53" s="55"/>
      <c r="G53" s="56"/>
      <c r="H53" s="36"/>
      <c r="I53" s="59" t="s">
        <v>244</v>
      </c>
      <c r="J53" s="69"/>
      <c r="K53" s="109"/>
      <c r="L53" s="110"/>
      <c r="M53" s="69"/>
    </row>
    <row r="54" spans="1:13" x14ac:dyDescent="0.35">
      <c r="A54" s="29"/>
      <c r="B54" s="19" t="s">
        <v>88</v>
      </c>
      <c r="C54" s="148" t="s">
        <v>65</v>
      </c>
      <c r="D54" s="149"/>
      <c r="E54" s="19" t="s">
        <v>89</v>
      </c>
      <c r="F54" s="42"/>
      <c r="G54" s="43"/>
      <c r="H54" s="24">
        <v>5</v>
      </c>
      <c r="I54" s="67" t="s">
        <v>90</v>
      </c>
      <c r="J54" s="68">
        <f>2.65/10^6</f>
        <v>2.65E-6</v>
      </c>
      <c r="K54" s="102">
        <f>SUM(J54:J63)</f>
        <v>4.6199999999999998E-6</v>
      </c>
      <c r="L54" s="103"/>
      <c r="M54" s="68">
        <v>2</v>
      </c>
    </row>
    <row r="55" spans="1:13" ht="15" thickBot="1" x14ac:dyDescent="0.4">
      <c r="A55" s="29"/>
      <c r="B55" s="30"/>
      <c r="C55" s="154"/>
      <c r="D55" s="155"/>
      <c r="E55" s="33"/>
      <c r="F55" s="55"/>
      <c r="G55" s="56"/>
      <c r="H55" s="36"/>
      <c r="I55" s="59" t="s">
        <v>247</v>
      </c>
      <c r="J55" s="69"/>
      <c r="K55" s="105"/>
      <c r="L55" s="106"/>
      <c r="M55" s="71"/>
    </row>
    <row r="56" spans="1:13" x14ac:dyDescent="0.35">
      <c r="A56" s="29"/>
      <c r="B56" s="30"/>
      <c r="C56" s="148" t="s">
        <v>68</v>
      </c>
      <c r="D56" s="149"/>
      <c r="E56" s="67" t="s">
        <v>92</v>
      </c>
      <c r="F56" s="22"/>
      <c r="G56" s="23"/>
      <c r="H56" s="24">
        <v>5</v>
      </c>
      <c r="I56" s="67" t="s">
        <v>93</v>
      </c>
      <c r="J56" s="68">
        <f>0.68/10^6</f>
        <v>6.8000000000000005E-7</v>
      </c>
      <c r="K56" s="105"/>
      <c r="L56" s="106"/>
      <c r="M56" s="71"/>
    </row>
    <row r="57" spans="1:13" x14ac:dyDescent="0.35">
      <c r="A57" s="29"/>
      <c r="B57" s="30"/>
      <c r="C57" s="151"/>
      <c r="D57" s="152"/>
      <c r="E57" s="201" t="s">
        <v>295</v>
      </c>
      <c r="F57" s="72"/>
      <c r="G57" s="73"/>
      <c r="H57" s="48"/>
      <c r="I57" s="67" t="s">
        <v>247</v>
      </c>
      <c r="J57" s="71"/>
      <c r="K57" s="105"/>
      <c r="L57" s="106"/>
      <c r="M57" s="71"/>
    </row>
    <row r="58" spans="1:13" x14ac:dyDescent="0.35">
      <c r="A58" s="29"/>
      <c r="B58" s="30"/>
      <c r="C58" s="151"/>
      <c r="D58" s="152"/>
      <c r="E58" s="201"/>
      <c r="F58" s="72"/>
      <c r="G58" s="73"/>
      <c r="H58" s="48"/>
      <c r="I58" s="67"/>
      <c r="J58" s="71"/>
      <c r="K58" s="105"/>
      <c r="L58" s="106"/>
      <c r="M58" s="71"/>
    </row>
    <row r="59" spans="1:13" ht="30" customHeight="1" thickBot="1" x14ac:dyDescent="0.4">
      <c r="A59" s="29"/>
      <c r="B59" s="30"/>
      <c r="C59" s="154"/>
      <c r="D59" s="155"/>
      <c r="E59" s="202"/>
      <c r="F59" s="34"/>
      <c r="G59" s="35"/>
      <c r="H59" s="36"/>
      <c r="I59" s="59"/>
      <c r="J59" s="69"/>
      <c r="K59" s="105"/>
      <c r="L59" s="106"/>
      <c r="M59" s="71"/>
    </row>
    <row r="60" spans="1:13" x14ac:dyDescent="0.35">
      <c r="A60" s="29"/>
      <c r="B60" s="30"/>
      <c r="C60" s="148" t="s">
        <v>72</v>
      </c>
      <c r="D60" s="149"/>
      <c r="E60" s="67" t="s">
        <v>96</v>
      </c>
      <c r="F60" s="22"/>
      <c r="G60" s="23"/>
      <c r="H60" s="24">
        <v>5</v>
      </c>
      <c r="I60" s="67" t="s">
        <v>97</v>
      </c>
      <c r="J60" s="68">
        <f>1.29/10^6</f>
        <v>1.2899999999999999E-6</v>
      </c>
      <c r="K60" s="105"/>
      <c r="L60" s="106"/>
      <c r="M60" s="71"/>
    </row>
    <row r="61" spans="1:13" ht="30" customHeight="1" x14ac:dyDescent="0.35">
      <c r="A61" s="29"/>
      <c r="B61" s="30"/>
      <c r="C61" s="151"/>
      <c r="D61" s="152"/>
      <c r="E61" s="67"/>
      <c r="F61" s="72"/>
      <c r="G61" s="73"/>
      <c r="H61" s="48"/>
      <c r="I61" s="67" t="s">
        <v>251</v>
      </c>
      <c r="J61" s="71"/>
      <c r="K61" s="105"/>
      <c r="L61" s="106"/>
      <c r="M61" s="71"/>
    </row>
    <row r="62" spans="1:13" x14ac:dyDescent="0.35">
      <c r="A62" s="29"/>
      <c r="B62" s="30"/>
      <c r="C62" s="151"/>
      <c r="D62" s="152"/>
      <c r="E62" s="201" t="s">
        <v>295</v>
      </c>
      <c r="F62" s="72"/>
      <c r="G62" s="73"/>
      <c r="H62" s="48"/>
      <c r="I62" s="67"/>
      <c r="J62" s="71"/>
      <c r="K62" s="105"/>
      <c r="L62" s="106"/>
      <c r="M62" s="71"/>
    </row>
    <row r="63" spans="1:13" ht="60" customHeight="1" thickBot="1" x14ac:dyDescent="0.4">
      <c r="A63" s="10"/>
      <c r="B63" s="33"/>
      <c r="C63" s="154"/>
      <c r="D63" s="155"/>
      <c r="E63" s="10"/>
      <c r="F63" s="34"/>
      <c r="G63" s="35"/>
      <c r="H63" s="36"/>
      <c r="I63" s="59"/>
      <c r="J63" s="69"/>
      <c r="K63" s="109"/>
      <c r="L63" s="110"/>
      <c r="M63" s="69"/>
    </row>
    <row r="64" spans="1:13" ht="15" thickBot="1" x14ac:dyDescent="0.4">
      <c r="A64" s="6" t="s">
        <v>315</v>
      </c>
      <c r="B64" s="19" t="s">
        <v>28</v>
      </c>
      <c r="C64" s="146" t="s">
        <v>101</v>
      </c>
      <c r="D64" s="147"/>
      <c r="E64" s="59" t="s">
        <v>38</v>
      </c>
      <c r="F64" s="62"/>
      <c r="G64" s="63"/>
      <c r="H64" s="37">
        <v>10</v>
      </c>
      <c r="I64" s="37" t="s">
        <v>103</v>
      </c>
      <c r="J64" s="64">
        <f>12.45/10^6</f>
        <v>1.2449999999999999E-5</v>
      </c>
      <c r="K64" s="102">
        <f>SUM(J64:J70)</f>
        <v>6.3650000000000002E-5</v>
      </c>
      <c r="L64" s="103"/>
      <c r="M64" s="68">
        <v>4</v>
      </c>
    </row>
    <row r="65" spans="1:13" ht="15" thickBot="1" x14ac:dyDescent="0.4">
      <c r="A65" s="119"/>
      <c r="B65" s="33"/>
      <c r="C65" s="146" t="s">
        <v>104</v>
      </c>
      <c r="D65" s="147"/>
      <c r="E65" s="59" t="s">
        <v>38</v>
      </c>
      <c r="F65" s="62"/>
      <c r="G65" s="63"/>
      <c r="H65" s="37"/>
      <c r="I65" s="37" t="s">
        <v>105</v>
      </c>
      <c r="J65" s="64">
        <f>24.22/10^6</f>
        <v>2.4219999999999999E-5</v>
      </c>
      <c r="K65" s="105"/>
      <c r="L65" s="106"/>
      <c r="M65" s="71"/>
    </row>
    <row r="66" spans="1:13" ht="43" customHeight="1" thickBot="1" x14ac:dyDescent="0.4">
      <c r="A66" s="119"/>
      <c r="B66" s="59" t="s">
        <v>30</v>
      </c>
      <c r="C66" s="146" t="s">
        <v>21</v>
      </c>
      <c r="D66" s="147"/>
      <c r="E66" s="59" t="s">
        <v>316</v>
      </c>
      <c r="F66" s="65"/>
      <c r="G66" s="66"/>
      <c r="H66" s="37"/>
      <c r="I66" s="37" t="s">
        <v>107</v>
      </c>
      <c r="J66" s="64">
        <f>3.02/10^6</f>
        <v>3.0199999999999999E-6</v>
      </c>
      <c r="K66" s="105"/>
      <c r="L66" s="106"/>
      <c r="M66" s="71"/>
    </row>
    <row r="67" spans="1:13" x14ac:dyDescent="0.35">
      <c r="A67" s="119"/>
      <c r="B67" s="19" t="s">
        <v>33</v>
      </c>
      <c r="C67" s="148" t="s">
        <v>34</v>
      </c>
      <c r="D67" s="149"/>
      <c r="E67" s="67" t="s">
        <v>35</v>
      </c>
      <c r="F67" s="22" t="s">
        <v>36</v>
      </c>
      <c r="G67" s="23"/>
      <c r="H67" s="24"/>
      <c r="I67" s="24" t="s">
        <v>108</v>
      </c>
      <c r="J67" s="68">
        <f>11.36/10^6</f>
        <v>1.136E-5</v>
      </c>
      <c r="K67" s="105"/>
      <c r="L67" s="106"/>
      <c r="M67" s="71"/>
    </row>
    <row r="68" spans="1:13" ht="15" thickBot="1" x14ac:dyDescent="0.4">
      <c r="A68" s="119"/>
      <c r="B68" s="30"/>
      <c r="C68" s="154"/>
      <c r="D68" s="155"/>
      <c r="E68" s="59" t="s">
        <v>109</v>
      </c>
      <c r="F68" s="34"/>
      <c r="G68" s="35"/>
      <c r="H68" s="36"/>
      <c r="I68" s="36"/>
      <c r="J68" s="69"/>
      <c r="K68" s="105"/>
      <c r="L68" s="106"/>
      <c r="M68" s="71"/>
    </row>
    <row r="69" spans="1:13" ht="15" thickBot="1" x14ac:dyDescent="0.4">
      <c r="A69" s="119"/>
      <c r="B69" s="33"/>
      <c r="C69" s="146" t="s">
        <v>39</v>
      </c>
      <c r="D69" s="147"/>
      <c r="E69" s="59" t="s">
        <v>316</v>
      </c>
      <c r="F69" s="65"/>
      <c r="G69" s="66"/>
      <c r="H69" s="37"/>
      <c r="I69" s="37" t="s">
        <v>111</v>
      </c>
      <c r="J69" s="64">
        <f>6.52/10^6</f>
        <v>6.5199999999999994E-6</v>
      </c>
      <c r="K69" s="105"/>
      <c r="L69" s="106"/>
      <c r="M69" s="71"/>
    </row>
    <row r="70" spans="1:13" ht="15" thickBot="1" x14ac:dyDescent="0.4">
      <c r="A70" s="15"/>
      <c r="B70" s="59" t="s">
        <v>41</v>
      </c>
      <c r="C70" s="146" t="s">
        <v>39</v>
      </c>
      <c r="D70" s="147"/>
      <c r="E70" s="59" t="s">
        <v>316</v>
      </c>
      <c r="F70" s="65"/>
      <c r="G70" s="66"/>
      <c r="H70" s="37"/>
      <c r="I70" s="37" t="s">
        <v>113</v>
      </c>
      <c r="J70" s="64">
        <f>6.08/10^6</f>
        <v>6.0800000000000002E-6</v>
      </c>
      <c r="K70" s="109"/>
      <c r="L70" s="110"/>
      <c r="M70" s="69"/>
    </row>
    <row r="71" spans="1:13" ht="15" thickBot="1" x14ac:dyDescent="0.4">
      <c r="A71" s="1" t="s">
        <v>114</v>
      </c>
      <c r="B71" s="19" t="s">
        <v>114</v>
      </c>
      <c r="C71" s="146" t="s">
        <v>34</v>
      </c>
      <c r="D71" s="147"/>
      <c r="E71" s="59" t="s">
        <v>115</v>
      </c>
      <c r="F71" s="62"/>
      <c r="G71" s="63"/>
      <c r="H71" s="37">
        <v>5</v>
      </c>
      <c r="I71" s="67" t="s">
        <v>116</v>
      </c>
      <c r="J71" s="68">
        <f>1/(14.2012*10^6)</f>
        <v>7.0416584513984728E-8</v>
      </c>
      <c r="K71" s="102">
        <f>SUM(J71:J74)</f>
        <v>7.0416584513984728E-8</v>
      </c>
      <c r="L71" s="103"/>
      <c r="M71" s="68">
        <v>1</v>
      </c>
    </row>
    <row r="72" spans="1:13" ht="86.5" customHeight="1" x14ac:dyDescent="0.35">
      <c r="A72" s="29"/>
      <c r="B72" s="30"/>
      <c r="C72" s="134" t="s">
        <v>117</v>
      </c>
      <c r="D72" s="135"/>
      <c r="E72" s="19" t="s">
        <v>118</v>
      </c>
      <c r="F72" s="22"/>
      <c r="G72" s="23"/>
      <c r="H72" s="24">
        <v>7</v>
      </c>
      <c r="I72" s="67" t="s">
        <v>258</v>
      </c>
      <c r="J72" s="71"/>
      <c r="K72" s="105"/>
      <c r="L72" s="106"/>
      <c r="M72" s="71"/>
    </row>
    <row r="73" spans="1:13" ht="30" customHeight="1" thickBot="1" x14ac:dyDescent="0.4">
      <c r="A73" s="29"/>
      <c r="B73" s="30"/>
      <c r="C73" s="136"/>
      <c r="D73" s="137"/>
      <c r="E73" s="33"/>
      <c r="F73" s="34"/>
      <c r="G73" s="35"/>
      <c r="H73" s="36"/>
      <c r="I73" s="67" t="s">
        <v>120</v>
      </c>
      <c r="J73" s="71"/>
      <c r="K73" s="105"/>
      <c r="L73" s="106"/>
      <c r="M73" s="71"/>
    </row>
    <row r="74" spans="1:13" ht="15" thickBot="1" x14ac:dyDescent="0.4">
      <c r="A74" s="10"/>
      <c r="B74" s="33"/>
      <c r="C74" s="144" t="s">
        <v>52</v>
      </c>
      <c r="D74" s="145"/>
      <c r="E74" s="59" t="s">
        <v>121</v>
      </c>
      <c r="F74" s="62"/>
      <c r="G74" s="63"/>
      <c r="H74" s="37">
        <v>5</v>
      </c>
      <c r="I74" s="59"/>
      <c r="J74" s="69"/>
      <c r="K74" s="109"/>
      <c r="L74" s="110"/>
      <c r="M74" s="69"/>
    </row>
    <row r="75" spans="1:13" ht="15" thickBot="1" x14ac:dyDescent="0.4">
      <c r="A75" s="217" t="s">
        <v>310</v>
      </c>
      <c r="B75" s="26"/>
      <c r="C75" s="218" t="s">
        <v>52</v>
      </c>
      <c r="D75" s="219"/>
      <c r="E75" s="84" t="s">
        <v>311</v>
      </c>
      <c r="F75" s="209"/>
      <c r="G75" s="210"/>
      <c r="H75" s="84">
        <v>7</v>
      </c>
      <c r="I75" s="26" t="s">
        <v>312</v>
      </c>
      <c r="J75" s="26">
        <f>1/33000</f>
        <v>3.0303030303030302E-5</v>
      </c>
      <c r="K75" s="27">
        <f>J75</f>
        <v>3.0303030303030302E-5</v>
      </c>
      <c r="L75" s="28"/>
      <c r="M75" s="26">
        <v>2</v>
      </c>
    </row>
    <row r="76" spans="1:13" x14ac:dyDescent="0.35">
      <c r="A76" s="220"/>
      <c r="B76" s="41"/>
      <c r="C76" s="102" t="s">
        <v>56</v>
      </c>
      <c r="D76" s="103"/>
      <c r="E76" s="19" t="s">
        <v>313</v>
      </c>
      <c r="F76" s="212"/>
      <c r="G76" s="213"/>
      <c r="H76" s="26">
        <v>5</v>
      </c>
      <c r="I76" s="41"/>
      <c r="J76" s="41"/>
      <c r="K76" s="39"/>
      <c r="L76" s="40"/>
      <c r="M76" s="41"/>
    </row>
    <row r="77" spans="1:13" ht="15" thickBot="1" x14ac:dyDescent="0.4">
      <c r="A77" s="221"/>
      <c r="B77" s="38"/>
      <c r="C77" s="109"/>
      <c r="D77" s="110"/>
      <c r="E77" s="33"/>
      <c r="F77" s="214"/>
      <c r="G77" s="215"/>
      <c r="H77" s="38"/>
      <c r="I77" s="38"/>
      <c r="J77" s="38"/>
      <c r="K77" s="49"/>
      <c r="L77" s="50"/>
      <c r="M77" s="38"/>
    </row>
    <row r="78" spans="1:13" ht="15" thickBot="1" x14ac:dyDescent="0.4">
      <c r="A78" s="1" t="s">
        <v>317</v>
      </c>
      <c r="B78" s="150" t="s">
        <v>318</v>
      </c>
      <c r="C78" s="180" t="s">
        <v>278</v>
      </c>
      <c r="D78" s="181"/>
      <c r="E78" s="64" t="s">
        <v>319</v>
      </c>
      <c r="F78" s="222"/>
      <c r="G78" s="223"/>
      <c r="H78" s="84">
        <v>6</v>
      </c>
      <c r="I78" s="64" t="s">
        <v>320</v>
      </c>
      <c r="J78" s="203">
        <f>12.03/10^6</f>
        <v>1.203E-5</v>
      </c>
      <c r="K78" s="102">
        <f>SUM(J78:J84)</f>
        <v>7.9980000000000003E-5</v>
      </c>
      <c r="L78" s="111"/>
      <c r="M78" s="68">
        <v>4</v>
      </c>
    </row>
    <row r="79" spans="1:13" ht="15" thickBot="1" x14ac:dyDescent="0.4">
      <c r="A79" s="29"/>
      <c r="B79" s="158"/>
      <c r="C79" s="180" t="s">
        <v>21</v>
      </c>
      <c r="D79" s="181"/>
      <c r="E79" s="64" t="s">
        <v>321</v>
      </c>
      <c r="F79" s="207"/>
      <c r="G79" s="208"/>
      <c r="H79" s="84">
        <v>8</v>
      </c>
      <c r="I79" s="64" t="s">
        <v>322</v>
      </c>
      <c r="J79" s="203">
        <f>1.68/10^6</f>
        <v>1.68E-6</v>
      </c>
      <c r="K79" s="105"/>
      <c r="L79" s="182"/>
      <c r="M79" s="71"/>
    </row>
    <row r="80" spans="1:13" ht="15" thickBot="1" x14ac:dyDescent="0.4">
      <c r="A80" s="29"/>
      <c r="B80" s="68" t="s">
        <v>323</v>
      </c>
      <c r="C80" s="180" t="s">
        <v>278</v>
      </c>
      <c r="D80" s="181"/>
      <c r="E80" s="64" t="s">
        <v>324</v>
      </c>
      <c r="F80" s="222"/>
      <c r="G80" s="223"/>
      <c r="H80" s="84">
        <v>5</v>
      </c>
      <c r="I80" s="64" t="s">
        <v>325</v>
      </c>
      <c r="J80" s="203">
        <f>31.5/10^6</f>
        <v>3.15E-5</v>
      </c>
      <c r="K80" s="105"/>
      <c r="L80" s="182"/>
      <c r="M80" s="71"/>
    </row>
    <row r="81" spans="1:13" ht="15" thickBot="1" x14ac:dyDescent="0.4">
      <c r="A81" s="29"/>
      <c r="B81" s="71"/>
      <c r="C81" s="180" t="s">
        <v>21</v>
      </c>
      <c r="D81" s="181"/>
      <c r="E81" s="64" t="s">
        <v>326</v>
      </c>
      <c r="F81" s="207"/>
      <c r="G81" s="208"/>
      <c r="H81" s="84">
        <v>8</v>
      </c>
      <c r="I81" s="64" t="s">
        <v>327</v>
      </c>
      <c r="J81" s="203">
        <f>2.98/10^6</f>
        <v>2.9799999999999998E-6</v>
      </c>
      <c r="K81" s="105"/>
      <c r="L81" s="182"/>
      <c r="M81" s="71"/>
    </row>
    <row r="82" spans="1:13" ht="58.5" thickBot="1" x14ac:dyDescent="0.4">
      <c r="A82" s="29"/>
      <c r="B82" s="69"/>
      <c r="C82" s="180" t="s">
        <v>328</v>
      </c>
      <c r="D82" s="181"/>
      <c r="E82" s="224" t="s">
        <v>329</v>
      </c>
      <c r="F82" s="225" t="s">
        <v>330</v>
      </c>
      <c r="G82" s="226" t="s">
        <v>331</v>
      </c>
      <c r="H82" s="84">
        <v>5</v>
      </c>
      <c r="I82" s="64" t="s">
        <v>320</v>
      </c>
      <c r="J82" s="203">
        <f>12.03/10^6</f>
        <v>1.203E-5</v>
      </c>
      <c r="K82" s="105"/>
      <c r="L82" s="182"/>
      <c r="M82" s="71"/>
    </row>
    <row r="83" spans="1:13" ht="15" thickBot="1" x14ac:dyDescent="0.4">
      <c r="A83" s="29"/>
      <c r="B83" s="64" t="s">
        <v>332</v>
      </c>
      <c r="C83" s="180" t="s">
        <v>333</v>
      </c>
      <c r="D83" s="181"/>
      <c r="E83" s="64" t="s">
        <v>334</v>
      </c>
      <c r="F83" s="227"/>
      <c r="G83" s="228"/>
      <c r="H83" s="84">
        <v>4</v>
      </c>
      <c r="I83" s="64" t="s">
        <v>335</v>
      </c>
      <c r="J83" s="203">
        <f>14.48/10^6</f>
        <v>1.448E-5</v>
      </c>
      <c r="K83" s="105"/>
      <c r="L83" s="182"/>
      <c r="M83" s="71"/>
    </row>
    <row r="84" spans="1:13" ht="15" thickBot="1" x14ac:dyDescent="0.4">
      <c r="A84" s="10"/>
      <c r="B84" s="64" t="s">
        <v>336</v>
      </c>
      <c r="C84" s="180" t="s">
        <v>337</v>
      </c>
      <c r="D84" s="181"/>
      <c r="E84" s="64" t="s">
        <v>338</v>
      </c>
      <c r="F84" s="76" t="s">
        <v>339</v>
      </c>
      <c r="G84" s="77"/>
      <c r="H84" s="84">
        <v>6</v>
      </c>
      <c r="I84" s="64" t="s">
        <v>340</v>
      </c>
      <c r="J84" s="203">
        <f>5.28/10^6</f>
        <v>5.2800000000000003E-6</v>
      </c>
      <c r="K84" s="109"/>
      <c r="L84" s="113"/>
      <c r="M84" s="69"/>
    </row>
    <row r="85" spans="1:13" ht="15" thickBot="1" x14ac:dyDescent="0.4">
      <c r="A85" s="78" t="s">
        <v>341</v>
      </c>
      <c r="B85" s="64" t="s">
        <v>342</v>
      </c>
      <c r="C85" s="144" t="s">
        <v>343</v>
      </c>
      <c r="D85" s="145"/>
      <c r="E85" s="64" t="s">
        <v>344</v>
      </c>
      <c r="F85" s="205"/>
      <c r="G85" s="206"/>
      <c r="H85" s="84">
        <v>4</v>
      </c>
      <c r="I85" s="64" t="s">
        <v>345</v>
      </c>
      <c r="J85" s="203">
        <f>1/5714.29</f>
        <v>1.7499986875009843E-4</v>
      </c>
      <c r="K85" s="102">
        <f>SUM(J85:J86)</f>
        <v>1.750702853346124E-4</v>
      </c>
      <c r="L85" s="103"/>
      <c r="M85" s="68">
        <v>4</v>
      </c>
    </row>
    <row r="86" spans="1:13" ht="29.5" thickBot="1" x14ac:dyDescent="0.4">
      <c r="A86" s="85"/>
      <c r="B86" s="158" t="s">
        <v>346</v>
      </c>
      <c r="C86" s="180" t="s">
        <v>52</v>
      </c>
      <c r="D86" s="181"/>
      <c r="E86" s="64" t="s">
        <v>347</v>
      </c>
      <c r="F86" s="209"/>
      <c r="G86" s="210"/>
      <c r="H86" s="229">
        <v>5</v>
      </c>
      <c r="I86" s="101" t="s">
        <v>348</v>
      </c>
      <c r="J86" s="203">
        <f>1/(14.2012*10^6)</f>
        <v>7.0416584513984728E-8</v>
      </c>
      <c r="K86" s="109"/>
      <c r="L86" s="110"/>
      <c r="M86" s="69"/>
    </row>
    <row r="87" spans="1:13" ht="15" thickBot="1" x14ac:dyDescent="0.4">
      <c r="A87" s="1" t="s">
        <v>130</v>
      </c>
      <c r="B87" s="19" t="s">
        <v>131</v>
      </c>
      <c r="C87" s="144" t="s">
        <v>158</v>
      </c>
      <c r="D87" s="145"/>
      <c r="E87" s="98" t="s">
        <v>133</v>
      </c>
      <c r="F87" s="99"/>
      <c r="G87" s="100"/>
      <c r="H87" s="84">
        <v>4</v>
      </c>
      <c r="I87" s="101" t="s">
        <v>134</v>
      </c>
      <c r="J87" s="64">
        <f>1.36/10^6</f>
        <v>1.3600000000000001E-6</v>
      </c>
      <c r="K87" s="102">
        <f>SUM(J87:J90)</f>
        <v>1.1589999999999999E-5</v>
      </c>
      <c r="L87" s="103"/>
      <c r="M87" s="68">
        <v>2</v>
      </c>
    </row>
    <row r="88" spans="1:13" ht="29.5" thickBot="1" x14ac:dyDescent="0.4">
      <c r="A88" s="29"/>
      <c r="B88" s="30"/>
      <c r="C88" s="144" t="s">
        <v>160</v>
      </c>
      <c r="D88" s="145"/>
      <c r="E88" s="104" t="s">
        <v>136</v>
      </c>
      <c r="F88" s="99"/>
      <c r="G88" s="100"/>
      <c r="H88" s="84">
        <v>4</v>
      </c>
      <c r="I88" s="101" t="s">
        <v>137</v>
      </c>
      <c r="J88" s="64">
        <f>2.36/10^6</f>
        <v>2.3599999999999999E-6</v>
      </c>
      <c r="K88" s="105"/>
      <c r="L88" s="106"/>
      <c r="M88" s="71"/>
    </row>
    <row r="89" spans="1:13" ht="86.5" customHeight="1" thickBot="1" x14ac:dyDescent="0.4">
      <c r="A89" s="29"/>
      <c r="B89" s="30"/>
      <c r="C89" s="180" t="s">
        <v>138</v>
      </c>
      <c r="D89" s="181"/>
      <c r="E89" s="98" t="s">
        <v>284</v>
      </c>
      <c r="F89" s="62" t="s">
        <v>285</v>
      </c>
      <c r="G89" s="63"/>
      <c r="H89" s="84">
        <v>4</v>
      </c>
      <c r="I89" s="101" t="s">
        <v>139</v>
      </c>
      <c r="J89" s="64">
        <f>1.91/10^6</f>
        <v>1.9099999999999999E-6</v>
      </c>
      <c r="K89" s="105"/>
      <c r="L89" s="106"/>
      <c r="M89" s="71"/>
    </row>
    <row r="90" spans="1:13" ht="15" thickBot="1" x14ac:dyDescent="0.4">
      <c r="A90" s="29"/>
      <c r="B90" s="33"/>
      <c r="C90" s="180" t="s">
        <v>140</v>
      </c>
      <c r="D90" s="181"/>
      <c r="E90" s="98" t="s">
        <v>141</v>
      </c>
      <c r="F90" s="99"/>
      <c r="G90" s="100"/>
      <c r="H90" s="84">
        <v>4</v>
      </c>
      <c r="I90" s="64" t="s">
        <v>142</v>
      </c>
      <c r="J90" s="64">
        <f>5.96/10^6</f>
        <v>5.9599999999999997E-6</v>
      </c>
      <c r="K90" s="109"/>
      <c r="L90" s="110"/>
      <c r="M90" s="69"/>
    </row>
    <row r="91" spans="1:13" s="204" customFormat="1" ht="15" thickBot="1" x14ac:dyDescent="0.4">
      <c r="A91" s="29"/>
      <c r="B91" s="19" t="s">
        <v>143</v>
      </c>
      <c r="C91" s="144" t="s">
        <v>158</v>
      </c>
      <c r="D91" s="145"/>
      <c r="E91" s="98" t="s">
        <v>133</v>
      </c>
      <c r="F91" s="99"/>
      <c r="G91" s="100"/>
      <c r="H91" s="84">
        <v>4</v>
      </c>
      <c r="I91" s="64" t="s">
        <v>144</v>
      </c>
      <c r="J91" s="64">
        <f>2.41/10^6</f>
        <v>2.4100000000000002E-6</v>
      </c>
      <c r="K91" s="102">
        <f>SUM(J91:J94)</f>
        <v>1.5679999999999999E-5</v>
      </c>
      <c r="L91" s="103"/>
      <c r="M91" s="68">
        <v>2</v>
      </c>
    </row>
    <row r="92" spans="1:13" ht="28.5" customHeight="1" thickBot="1" x14ac:dyDescent="0.4">
      <c r="A92" s="29"/>
      <c r="B92" s="30"/>
      <c r="C92" s="144" t="s">
        <v>160</v>
      </c>
      <c r="D92" s="145"/>
      <c r="E92" s="104" t="s">
        <v>136</v>
      </c>
      <c r="F92" s="99"/>
      <c r="G92" s="100"/>
      <c r="H92" s="84">
        <v>4</v>
      </c>
      <c r="I92" s="64" t="s">
        <v>145</v>
      </c>
      <c r="J92" s="64">
        <f>5.18/10^6</f>
        <v>5.1799999999999995E-6</v>
      </c>
      <c r="K92" s="105"/>
      <c r="L92" s="106"/>
      <c r="M92" s="71"/>
    </row>
    <row r="93" spans="1:13" ht="15" thickBot="1" x14ac:dyDescent="0.4">
      <c r="A93" s="29"/>
      <c r="B93" s="30"/>
      <c r="C93" s="180" t="s">
        <v>138</v>
      </c>
      <c r="D93" s="181"/>
      <c r="E93" s="98" t="s">
        <v>349</v>
      </c>
      <c r="F93" s="62" t="s">
        <v>285</v>
      </c>
      <c r="G93" s="63"/>
      <c r="H93" s="84">
        <v>4</v>
      </c>
      <c r="I93" s="64" t="s">
        <v>146</v>
      </c>
      <c r="J93" s="64">
        <f>(1.54+0.28)/10^6</f>
        <v>1.8200000000000002E-6</v>
      </c>
      <c r="K93" s="105"/>
      <c r="L93" s="106"/>
      <c r="M93" s="71"/>
    </row>
    <row r="94" spans="1:13" ht="36.75" customHeight="1" thickBot="1" x14ac:dyDescent="0.4">
      <c r="A94" s="29"/>
      <c r="B94" s="33"/>
      <c r="C94" s="180" t="s">
        <v>140</v>
      </c>
      <c r="D94" s="181"/>
      <c r="E94" s="98" t="s">
        <v>141</v>
      </c>
      <c r="F94" s="99"/>
      <c r="G94" s="100"/>
      <c r="H94" s="84">
        <v>4</v>
      </c>
      <c r="I94" s="64" t="s">
        <v>147</v>
      </c>
      <c r="J94" s="64">
        <f>6.27/10^6</f>
        <v>6.2699999999999993E-6</v>
      </c>
      <c r="K94" s="109"/>
      <c r="L94" s="110"/>
      <c r="M94" s="69"/>
    </row>
    <row r="95" spans="1:13" ht="15" thickBot="1" x14ac:dyDescent="0.4">
      <c r="A95" s="29"/>
      <c r="B95" s="19" t="s">
        <v>148</v>
      </c>
      <c r="C95" s="144" t="s">
        <v>158</v>
      </c>
      <c r="D95" s="145"/>
      <c r="E95" s="98" t="s">
        <v>149</v>
      </c>
      <c r="F95" s="82"/>
      <c r="G95" s="83"/>
      <c r="H95" s="84">
        <v>4</v>
      </c>
      <c r="I95" s="64" t="s">
        <v>150</v>
      </c>
      <c r="J95" s="64">
        <f>3.81/10^6</f>
        <v>3.8099999999999999E-6</v>
      </c>
      <c r="K95" s="102">
        <f>SUM(J95:J98)</f>
        <v>7.0849999999999991E-6</v>
      </c>
      <c r="L95" s="111"/>
      <c r="M95" s="68">
        <v>1</v>
      </c>
    </row>
    <row r="96" spans="1:13" ht="42.75" customHeight="1" thickBot="1" x14ac:dyDescent="0.4">
      <c r="A96" s="29"/>
      <c r="B96" s="30"/>
      <c r="C96" s="144" t="s">
        <v>160</v>
      </c>
      <c r="D96" s="145"/>
      <c r="E96" s="104" t="s">
        <v>151</v>
      </c>
      <c r="F96" s="99"/>
      <c r="G96" s="100"/>
      <c r="H96" s="84">
        <v>4</v>
      </c>
      <c r="I96" s="64" t="s">
        <v>152</v>
      </c>
      <c r="J96" s="64">
        <f>3.03/10^6</f>
        <v>3.0299999999999998E-6</v>
      </c>
      <c r="K96" s="105"/>
      <c r="L96" s="112"/>
      <c r="M96" s="71"/>
    </row>
    <row r="97" spans="1:13" ht="15" thickBot="1" x14ac:dyDescent="0.4">
      <c r="A97" s="29"/>
      <c r="B97" s="30"/>
      <c r="C97" s="180" t="s">
        <v>138</v>
      </c>
      <c r="D97" s="181"/>
      <c r="E97" s="98" t="s">
        <v>259</v>
      </c>
      <c r="F97" s="99"/>
      <c r="G97" s="100"/>
      <c r="H97" s="84">
        <v>4</v>
      </c>
      <c r="I97" s="64" t="s">
        <v>154</v>
      </c>
      <c r="J97" s="64">
        <f>(0.14*0.25)/10^6</f>
        <v>3.5000000000000002E-8</v>
      </c>
      <c r="K97" s="105"/>
      <c r="L97" s="112"/>
      <c r="M97" s="71"/>
    </row>
    <row r="98" spans="1:13" ht="15" thickBot="1" x14ac:dyDescent="0.4">
      <c r="A98" s="29"/>
      <c r="B98" s="33"/>
      <c r="C98" s="180" t="s">
        <v>140</v>
      </c>
      <c r="D98" s="181"/>
      <c r="E98" s="104" t="s">
        <v>155</v>
      </c>
      <c r="F98" s="82"/>
      <c r="G98" s="83"/>
      <c r="H98" s="84">
        <v>4</v>
      </c>
      <c r="I98" s="64" t="s">
        <v>156</v>
      </c>
      <c r="J98" s="64">
        <f>0.21/10^6</f>
        <v>2.1E-7</v>
      </c>
      <c r="K98" s="109"/>
      <c r="L98" s="113"/>
      <c r="M98" s="69"/>
    </row>
    <row r="99" spans="1:13" ht="15" thickBot="1" x14ac:dyDescent="0.4">
      <c r="A99" s="29"/>
      <c r="B99" s="19" t="s">
        <v>157</v>
      </c>
      <c r="C99" s="144" t="s">
        <v>158</v>
      </c>
      <c r="D99" s="145"/>
      <c r="E99" s="98" t="s">
        <v>149</v>
      </c>
      <c r="F99" s="82"/>
      <c r="G99" s="83"/>
      <c r="H99" s="84">
        <v>4</v>
      </c>
      <c r="I99" s="64" t="s">
        <v>159</v>
      </c>
      <c r="J99" s="64">
        <f>4.29/10^6</f>
        <v>4.2900000000000004E-6</v>
      </c>
      <c r="K99" s="102">
        <f>SUM(J99:J102)</f>
        <v>1.394E-5</v>
      </c>
      <c r="L99" s="103"/>
      <c r="M99" s="68">
        <v>2</v>
      </c>
    </row>
    <row r="100" spans="1:13" ht="35.25" customHeight="1" thickBot="1" x14ac:dyDescent="0.4">
      <c r="A100" s="29"/>
      <c r="B100" s="30"/>
      <c r="C100" s="144" t="s">
        <v>160</v>
      </c>
      <c r="D100" s="145"/>
      <c r="E100" s="104" t="s">
        <v>151</v>
      </c>
      <c r="F100" s="99"/>
      <c r="G100" s="100"/>
      <c r="H100" s="84">
        <v>4</v>
      </c>
      <c r="I100" s="64" t="s">
        <v>161</v>
      </c>
      <c r="J100" s="64">
        <f>8.52/10^6</f>
        <v>8.5199999999999997E-6</v>
      </c>
      <c r="K100" s="105"/>
      <c r="L100" s="106"/>
      <c r="M100" s="71"/>
    </row>
    <row r="101" spans="1:13" ht="30.75" customHeight="1" thickBot="1" x14ac:dyDescent="0.4">
      <c r="A101" s="29"/>
      <c r="B101" s="30"/>
      <c r="C101" s="180" t="s">
        <v>138</v>
      </c>
      <c r="D101" s="181"/>
      <c r="E101" s="98" t="s">
        <v>259</v>
      </c>
      <c r="F101" s="99"/>
      <c r="G101" s="100"/>
      <c r="H101" s="84">
        <v>4</v>
      </c>
      <c r="I101" s="64" t="s">
        <v>163</v>
      </c>
      <c r="J101" s="64">
        <f>0.39/10^6</f>
        <v>3.9000000000000002E-7</v>
      </c>
      <c r="K101" s="105"/>
      <c r="L101" s="106"/>
      <c r="M101" s="71"/>
    </row>
    <row r="102" spans="1:13" ht="38.25" customHeight="1" thickBot="1" x14ac:dyDescent="0.4">
      <c r="A102" s="29"/>
      <c r="B102" s="33"/>
      <c r="C102" s="180" t="s">
        <v>140</v>
      </c>
      <c r="D102" s="181"/>
      <c r="E102" s="104" t="s">
        <v>155</v>
      </c>
      <c r="F102" s="82"/>
      <c r="G102" s="83"/>
      <c r="H102" s="84">
        <v>4</v>
      </c>
      <c r="I102" s="64" t="s">
        <v>164</v>
      </c>
      <c r="J102" s="64">
        <f>0.74/10^6</f>
        <v>7.4000000000000001E-7</v>
      </c>
      <c r="K102" s="109"/>
      <c r="L102" s="110"/>
      <c r="M102" s="69"/>
    </row>
    <row r="103" spans="1:13" ht="15" thickBot="1" x14ac:dyDescent="0.4">
      <c r="A103" s="29"/>
      <c r="B103" s="19" t="s">
        <v>165</v>
      </c>
      <c r="C103" s="144" t="s">
        <v>158</v>
      </c>
      <c r="D103" s="145"/>
      <c r="E103" s="101" t="s">
        <v>166</v>
      </c>
      <c r="F103" s="65"/>
      <c r="G103" s="66"/>
      <c r="H103" s="81">
        <v>9</v>
      </c>
      <c r="I103" s="114" t="s">
        <v>167</v>
      </c>
      <c r="J103" s="98">
        <f>0.82/10^6</f>
        <v>8.1999999999999998E-7</v>
      </c>
      <c r="K103" s="102">
        <f>SUM(J103:J105)</f>
        <v>1.9699999999999998E-6</v>
      </c>
      <c r="L103" s="103"/>
      <c r="M103" s="68">
        <v>3</v>
      </c>
    </row>
    <row r="104" spans="1:13" x14ac:dyDescent="0.35">
      <c r="A104" s="29"/>
      <c r="B104" s="30"/>
      <c r="C104" s="134" t="s">
        <v>16</v>
      </c>
      <c r="D104" s="135"/>
      <c r="E104" s="67" t="s">
        <v>168</v>
      </c>
      <c r="F104" s="42"/>
      <c r="G104" s="43"/>
      <c r="H104" s="24">
        <v>7</v>
      </c>
      <c r="I104" s="19" t="s">
        <v>169</v>
      </c>
      <c r="J104" s="68">
        <f>1.15/10^6</f>
        <v>1.15E-6</v>
      </c>
      <c r="K104" s="105"/>
      <c r="L104" s="106"/>
      <c r="M104" s="71"/>
    </row>
    <row r="105" spans="1:13" s="204" customFormat="1" ht="15.75" customHeight="1" thickBot="1" x14ac:dyDescent="0.4">
      <c r="A105" s="10"/>
      <c r="B105" s="33"/>
      <c r="C105" s="136"/>
      <c r="D105" s="137"/>
      <c r="E105" s="59" t="s">
        <v>170</v>
      </c>
      <c r="F105" s="55"/>
      <c r="G105" s="56"/>
      <c r="H105" s="36"/>
      <c r="I105" s="33"/>
      <c r="J105" s="69"/>
      <c r="K105" s="109"/>
      <c r="L105" s="110"/>
      <c r="M105" s="69"/>
    </row>
    <row r="106" spans="1:13" ht="43" customHeight="1" x14ac:dyDescent="0.35"/>
    <row r="108" spans="1:13" x14ac:dyDescent="0.35">
      <c r="D108" s="230" t="s">
        <v>350</v>
      </c>
    </row>
    <row r="112" spans="1:13" ht="101.15" customHeight="1" x14ac:dyDescent="0.35"/>
    <row r="114" ht="101.15" customHeight="1" x14ac:dyDescent="0.35"/>
    <row r="116" ht="86.5" customHeight="1" x14ac:dyDescent="0.35"/>
    <row r="118" ht="101.15" customHeight="1" x14ac:dyDescent="0.35"/>
    <row r="128" ht="58.5" customHeight="1" x14ac:dyDescent="0.35"/>
    <row r="136" ht="15" customHeight="1" x14ac:dyDescent="0.35"/>
  </sheetData>
  <mergeCells count="268">
    <mergeCell ref="M103:M105"/>
    <mergeCell ref="C104:D105"/>
    <mergeCell ref="F104:G105"/>
    <mergeCell ref="H104:H105"/>
    <mergeCell ref="I104:I105"/>
    <mergeCell ref="J104:J105"/>
    <mergeCell ref="C102:D102"/>
    <mergeCell ref="F102:G102"/>
    <mergeCell ref="B103:B105"/>
    <mergeCell ref="C103:D103"/>
    <mergeCell ref="F103:G103"/>
    <mergeCell ref="K103:L105"/>
    <mergeCell ref="F98:G98"/>
    <mergeCell ref="B99:B102"/>
    <mergeCell ref="C99:D99"/>
    <mergeCell ref="F99:G99"/>
    <mergeCell ref="K99:L102"/>
    <mergeCell ref="M99:M102"/>
    <mergeCell ref="C100:D100"/>
    <mergeCell ref="F100:G100"/>
    <mergeCell ref="C101:D101"/>
    <mergeCell ref="F101:G101"/>
    <mergeCell ref="B95:B98"/>
    <mergeCell ref="C95:D95"/>
    <mergeCell ref="F95:G95"/>
    <mergeCell ref="K95:L98"/>
    <mergeCell ref="M95:M98"/>
    <mergeCell ref="C96:D96"/>
    <mergeCell ref="F96:G96"/>
    <mergeCell ref="C97:D97"/>
    <mergeCell ref="F97:G97"/>
    <mergeCell ref="C98:D98"/>
    <mergeCell ref="K91:L94"/>
    <mergeCell ref="M91:M94"/>
    <mergeCell ref="C92:D92"/>
    <mergeCell ref="F92:G92"/>
    <mergeCell ref="C93:D93"/>
    <mergeCell ref="F93:G93"/>
    <mergeCell ref="C94:D94"/>
    <mergeCell ref="F94:G94"/>
    <mergeCell ref="F88:G88"/>
    <mergeCell ref="C89:D89"/>
    <mergeCell ref="F89:G89"/>
    <mergeCell ref="C90:D90"/>
    <mergeCell ref="F90:G90"/>
    <mergeCell ref="B91:B94"/>
    <mergeCell ref="C91:D91"/>
    <mergeCell ref="F91:G91"/>
    <mergeCell ref="M85:M86"/>
    <mergeCell ref="C86:D86"/>
    <mergeCell ref="F86:G86"/>
    <mergeCell ref="A87:A105"/>
    <mergeCell ref="B87:B90"/>
    <mergeCell ref="C87:D87"/>
    <mergeCell ref="F87:G87"/>
    <mergeCell ref="K87:L90"/>
    <mergeCell ref="M87:M90"/>
    <mergeCell ref="C88:D88"/>
    <mergeCell ref="C84:D84"/>
    <mergeCell ref="F84:G84"/>
    <mergeCell ref="A85:A86"/>
    <mergeCell ref="C85:D85"/>
    <mergeCell ref="F85:G85"/>
    <mergeCell ref="K85:L86"/>
    <mergeCell ref="A78:A84"/>
    <mergeCell ref="C78:D78"/>
    <mergeCell ref="K78:L84"/>
    <mergeCell ref="M78:M84"/>
    <mergeCell ref="C79:D79"/>
    <mergeCell ref="B80:B82"/>
    <mergeCell ref="C80:D80"/>
    <mergeCell ref="C81:D81"/>
    <mergeCell ref="C82:D82"/>
    <mergeCell ref="C83:D83"/>
    <mergeCell ref="K75:L77"/>
    <mergeCell ref="M75:M77"/>
    <mergeCell ref="C76:D77"/>
    <mergeCell ref="E76:E77"/>
    <mergeCell ref="F76:G77"/>
    <mergeCell ref="H76:H77"/>
    <mergeCell ref="A75:A77"/>
    <mergeCell ref="B75:B77"/>
    <mergeCell ref="C75:D75"/>
    <mergeCell ref="F75:G75"/>
    <mergeCell ref="I75:I77"/>
    <mergeCell ref="J75:J77"/>
    <mergeCell ref="J71:J74"/>
    <mergeCell ref="K71:L74"/>
    <mergeCell ref="M71:M74"/>
    <mergeCell ref="C72:D73"/>
    <mergeCell ref="E72:E73"/>
    <mergeCell ref="F72:G73"/>
    <mergeCell ref="H72:H73"/>
    <mergeCell ref="C74:D74"/>
    <mergeCell ref="F74:G74"/>
    <mergeCell ref="C70:D70"/>
    <mergeCell ref="F70:G70"/>
    <mergeCell ref="A71:A74"/>
    <mergeCell ref="B71:B74"/>
    <mergeCell ref="C71:D71"/>
    <mergeCell ref="F71:G71"/>
    <mergeCell ref="B67:B69"/>
    <mergeCell ref="C67:D68"/>
    <mergeCell ref="F67:G68"/>
    <mergeCell ref="H67:H68"/>
    <mergeCell ref="I67:I68"/>
    <mergeCell ref="J67:J68"/>
    <mergeCell ref="C69:D69"/>
    <mergeCell ref="F69:G69"/>
    <mergeCell ref="A64:A70"/>
    <mergeCell ref="B64:B65"/>
    <mergeCell ref="C64:D64"/>
    <mergeCell ref="F64:G64"/>
    <mergeCell ref="K64:L70"/>
    <mergeCell ref="M64:M70"/>
    <mergeCell ref="C65:D65"/>
    <mergeCell ref="F65:G65"/>
    <mergeCell ref="C66:D66"/>
    <mergeCell ref="F66:G66"/>
    <mergeCell ref="K54:L63"/>
    <mergeCell ref="M54:M63"/>
    <mergeCell ref="C56:D59"/>
    <mergeCell ref="F56:G59"/>
    <mergeCell ref="H56:H59"/>
    <mergeCell ref="J56:J59"/>
    <mergeCell ref="E57:E59"/>
    <mergeCell ref="C60:D63"/>
    <mergeCell ref="F60:G63"/>
    <mergeCell ref="H60:H63"/>
    <mergeCell ref="B54:B63"/>
    <mergeCell ref="C54:D55"/>
    <mergeCell ref="E54:E55"/>
    <mergeCell ref="F54:G55"/>
    <mergeCell ref="H54:H55"/>
    <mergeCell ref="J54:J55"/>
    <mergeCell ref="J60:J63"/>
    <mergeCell ref="E62:E63"/>
    <mergeCell ref="K48:L53"/>
    <mergeCell ref="M48:M53"/>
    <mergeCell ref="C50:D51"/>
    <mergeCell ref="E50:E51"/>
    <mergeCell ref="F50:G51"/>
    <mergeCell ref="H50:H51"/>
    <mergeCell ref="J50:J51"/>
    <mergeCell ref="C52:D53"/>
    <mergeCell ref="E52:E53"/>
    <mergeCell ref="F52:G53"/>
    <mergeCell ref="B48:B53"/>
    <mergeCell ref="C48:D49"/>
    <mergeCell ref="E48:E49"/>
    <mergeCell ref="F48:G49"/>
    <mergeCell ref="H48:H49"/>
    <mergeCell ref="J48:J49"/>
    <mergeCell ref="H52:H53"/>
    <mergeCell ref="J52:J53"/>
    <mergeCell ref="F44:G44"/>
    <mergeCell ref="J44:J47"/>
    <mergeCell ref="K44:L47"/>
    <mergeCell ref="M44:M47"/>
    <mergeCell ref="C45:D46"/>
    <mergeCell ref="F45:G46"/>
    <mergeCell ref="H45:H46"/>
    <mergeCell ref="C47:D47"/>
    <mergeCell ref="F47:G47"/>
    <mergeCell ref="K38:L43"/>
    <mergeCell ref="M38:M43"/>
    <mergeCell ref="C39:D41"/>
    <mergeCell ref="F39:G41"/>
    <mergeCell ref="H39:H41"/>
    <mergeCell ref="C42:D43"/>
    <mergeCell ref="E42:E43"/>
    <mergeCell ref="F42:G43"/>
    <mergeCell ref="H42:H43"/>
    <mergeCell ref="H35:H37"/>
    <mergeCell ref="I35:I37"/>
    <mergeCell ref="J35:J37"/>
    <mergeCell ref="A38:A63"/>
    <mergeCell ref="B38:B43"/>
    <mergeCell ref="C38:D38"/>
    <mergeCell ref="F38:G38"/>
    <mergeCell ref="J38:J43"/>
    <mergeCell ref="B44:B47"/>
    <mergeCell ref="C44:D44"/>
    <mergeCell ref="I27:I28"/>
    <mergeCell ref="J27:J28"/>
    <mergeCell ref="K27:L37"/>
    <mergeCell ref="M27:M37"/>
    <mergeCell ref="C29:D34"/>
    <mergeCell ref="E29:E34"/>
    <mergeCell ref="F29:G34"/>
    <mergeCell ref="H29:H34"/>
    <mergeCell ref="I29:I34"/>
    <mergeCell ref="J29:J34"/>
    <mergeCell ref="A27:A37"/>
    <mergeCell ref="B27:B37"/>
    <mergeCell ref="C27:D28"/>
    <mergeCell ref="E27:E28"/>
    <mergeCell ref="F27:G28"/>
    <mergeCell ref="H27:H28"/>
    <mergeCell ref="C35:D37"/>
    <mergeCell ref="E35:E37"/>
    <mergeCell ref="F35:F37"/>
    <mergeCell ref="G35:G37"/>
    <mergeCell ref="F23:G23"/>
    <mergeCell ref="C24:D26"/>
    <mergeCell ref="E24:E26"/>
    <mergeCell ref="F24:G26"/>
    <mergeCell ref="H24:H26"/>
    <mergeCell ref="I24:I26"/>
    <mergeCell ref="M17:M26"/>
    <mergeCell ref="C18:D18"/>
    <mergeCell ref="F18:G18"/>
    <mergeCell ref="C19:D20"/>
    <mergeCell ref="E19:E20"/>
    <mergeCell ref="F19:G20"/>
    <mergeCell ref="H19:H20"/>
    <mergeCell ref="C21:D21"/>
    <mergeCell ref="F21:G21"/>
    <mergeCell ref="J21:J23"/>
    <mergeCell ref="A17:A26"/>
    <mergeCell ref="B17:B20"/>
    <mergeCell ref="C17:D17"/>
    <mergeCell ref="F17:G17"/>
    <mergeCell ref="J17:J20"/>
    <mergeCell ref="K17:L26"/>
    <mergeCell ref="B21:B26"/>
    <mergeCell ref="C22:D22"/>
    <mergeCell ref="F22:G22"/>
    <mergeCell ref="C23:D23"/>
    <mergeCell ref="H13:H14"/>
    <mergeCell ref="I13:I14"/>
    <mergeCell ref="J13:J14"/>
    <mergeCell ref="C15:D15"/>
    <mergeCell ref="F15:G15"/>
    <mergeCell ref="C16:D16"/>
    <mergeCell ref="F16:G16"/>
    <mergeCell ref="A11:A16"/>
    <mergeCell ref="C11:D11"/>
    <mergeCell ref="F11:G11"/>
    <mergeCell ref="K11:L16"/>
    <mergeCell ref="M11:M16"/>
    <mergeCell ref="C12:D12"/>
    <mergeCell ref="F12:G12"/>
    <mergeCell ref="B13:B15"/>
    <mergeCell ref="C13:D14"/>
    <mergeCell ref="F13:G14"/>
    <mergeCell ref="J3:J4"/>
    <mergeCell ref="K3:L10"/>
    <mergeCell ref="M3:M10"/>
    <mergeCell ref="C5:D10"/>
    <mergeCell ref="E5:E10"/>
    <mergeCell ref="F5:G10"/>
    <mergeCell ref="H5:H10"/>
    <mergeCell ref="J5:J10"/>
    <mergeCell ref="I6:I10"/>
    <mergeCell ref="A3:A10"/>
    <mergeCell ref="B3:B10"/>
    <mergeCell ref="C3:D4"/>
    <mergeCell ref="E3:E4"/>
    <mergeCell ref="F3:G4"/>
    <mergeCell ref="H3:H4"/>
    <mergeCell ref="A1:A2"/>
    <mergeCell ref="B1:B2"/>
    <mergeCell ref="C1:D2"/>
    <mergeCell ref="E1:E2"/>
    <mergeCell ref="F1:G1"/>
    <mergeCell ref="H1:H2"/>
    <mergeCell ref="F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27" sqref="B27:B37"/>
    </sheetView>
  </sheetViews>
  <sheetFormatPr baseColWidth="10" defaultColWidth="10.81640625" defaultRowHeight="14.5" x14ac:dyDescent="0.35"/>
  <cols>
    <col min="1" max="1" width="17.1796875" style="183" bestFit="1" customWidth="1"/>
    <col min="2" max="2" width="39.26953125" style="184" bestFit="1" customWidth="1"/>
    <col min="3" max="3" width="15.453125" style="127" customWidth="1"/>
    <col min="4" max="4" width="23.26953125" style="127" customWidth="1"/>
    <col min="5" max="5" width="50.26953125" style="184" customWidth="1"/>
    <col min="6" max="6" width="10.81640625" style="184"/>
    <col min="7" max="7" width="18.81640625" style="184" customWidth="1"/>
    <col min="8" max="8" width="9.54296875" style="216" customWidth="1"/>
    <col min="9" max="9" width="18.453125" style="184" customWidth="1"/>
    <col min="10" max="10" width="17.1796875" style="127" customWidth="1"/>
    <col min="11" max="11" width="12" style="127" bestFit="1" customWidth="1"/>
    <col min="12" max="12" width="10.81640625" style="127" customWidth="1"/>
    <col min="13" max="16384" width="10.81640625" style="127"/>
  </cols>
  <sheetData>
    <row r="1" spans="1:13" ht="14.5" customHeight="1" x14ac:dyDescent="0.35">
      <c r="A1" s="1" t="s">
        <v>0</v>
      </c>
      <c r="B1" s="1" t="s">
        <v>1</v>
      </c>
      <c r="C1" s="120" t="s">
        <v>2</v>
      </c>
      <c r="D1" s="121"/>
      <c r="E1" s="1" t="s">
        <v>3</v>
      </c>
      <c r="F1" s="122" t="s">
        <v>4</v>
      </c>
      <c r="G1" s="123"/>
      <c r="H1" s="6" t="s">
        <v>5</v>
      </c>
      <c r="I1" s="124" t="s">
        <v>6</v>
      </c>
      <c r="J1" s="125" t="s">
        <v>7</v>
      </c>
      <c r="K1" s="125" t="s">
        <v>8</v>
      </c>
      <c r="L1" s="126"/>
      <c r="M1" s="125" t="s">
        <v>9</v>
      </c>
    </row>
    <row r="2" spans="1:13" ht="15" thickBot="1" x14ac:dyDescent="0.4">
      <c r="A2" s="10"/>
      <c r="B2" s="10"/>
      <c r="C2" s="128"/>
      <c r="D2" s="129"/>
      <c r="E2" s="10"/>
      <c r="F2" s="130" t="s">
        <v>10</v>
      </c>
      <c r="G2" s="131"/>
      <c r="H2" s="15"/>
      <c r="I2" s="75" t="s">
        <v>11</v>
      </c>
      <c r="J2" s="132" t="s">
        <v>12</v>
      </c>
      <c r="K2" s="132" t="s">
        <v>13</v>
      </c>
      <c r="L2" s="133"/>
      <c r="M2" s="132"/>
    </row>
    <row r="3" spans="1:13" x14ac:dyDescent="0.35">
      <c r="A3" s="1" t="s">
        <v>14</v>
      </c>
      <c r="B3" s="19" t="s">
        <v>283</v>
      </c>
      <c r="C3" s="134" t="s">
        <v>16</v>
      </c>
      <c r="D3" s="135"/>
      <c r="E3" s="19" t="s">
        <v>284</v>
      </c>
      <c r="F3" s="22" t="s">
        <v>285</v>
      </c>
      <c r="G3" s="23"/>
      <c r="H3" s="24">
        <v>8</v>
      </c>
      <c r="I3" s="67" t="s">
        <v>19</v>
      </c>
      <c r="J3" s="68">
        <f>2.87/10^6</f>
        <v>2.8700000000000001E-6</v>
      </c>
      <c r="K3" s="102">
        <f>SUM(J3:J5)</f>
        <v>3.8549999999999995E-6</v>
      </c>
      <c r="L3" s="103"/>
      <c r="M3" s="68">
        <v>2</v>
      </c>
    </row>
    <row r="4" spans="1:13" ht="15" thickBot="1" x14ac:dyDescent="0.4">
      <c r="A4" s="29"/>
      <c r="B4" s="30"/>
      <c r="C4" s="136"/>
      <c r="D4" s="137"/>
      <c r="E4" s="33"/>
      <c r="F4" s="34"/>
      <c r="G4" s="35"/>
      <c r="H4" s="36"/>
      <c r="I4" s="59" t="s">
        <v>177</v>
      </c>
      <c r="J4" s="69"/>
      <c r="K4" s="105"/>
      <c r="L4" s="106"/>
      <c r="M4" s="71"/>
    </row>
    <row r="5" spans="1:13" ht="15" customHeight="1" x14ac:dyDescent="0.35">
      <c r="A5" s="29"/>
      <c r="B5" s="30"/>
      <c r="C5" s="134" t="s">
        <v>21</v>
      </c>
      <c r="D5" s="135"/>
      <c r="E5" s="19" t="s">
        <v>284</v>
      </c>
      <c r="F5" s="42" t="s">
        <v>285</v>
      </c>
      <c r="G5" s="43"/>
      <c r="H5" s="24">
        <v>9</v>
      </c>
      <c r="I5" s="67" t="s">
        <v>22</v>
      </c>
      <c r="J5" s="68">
        <f>0.985/10^6</f>
        <v>9.8499999999999989E-7</v>
      </c>
      <c r="K5" s="105"/>
      <c r="L5" s="106"/>
      <c r="M5" s="71"/>
    </row>
    <row r="6" spans="1:13" x14ac:dyDescent="0.35">
      <c r="A6" s="29"/>
      <c r="B6" s="30"/>
      <c r="C6" s="172"/>
      <c r="D6" s="173"/>
      <c r="E6" s="30"/>
      <c r="F6" s="46"/>
      <c r="G6" s="47"/>
      <c r="H6" s="48"/>
      <c r="I6" s="30" t="s">
        <v>178</v>
      </c>
      <c r="J6" s="71"/>
      <c r="K6" s="105"/>
      <c r="L6" s="106"/>
      <c r="M6" s="71"/>
    </row>
    <row r="7" spans="1:13" ht="15" customHeight="1" x14ac:dyDescent="0.35">
      <c r="A7" s="29"/>
      <c r="B7" s="30"/>
      <c r="C7" s="172"/>
      <c r="D7" s="173"/>
      <c r="E7" s="30"/>
      <c r="F7" s="46"/>
      <c r="G7" s="47"/>
      <c r="H7" s="48"/>
      <c r="I7" s="30"/>
      <c r="J7" s="71"/>
      <c r="K7" s="105"/>
      <c r="L7" s="106"/>
      <c r="M7" s="71"/>
    </row>
    <row r="8" spans="1:13" x14ac:dyDescent="0.35">
      <c r="A8" s="29"/>
      <c r="B8" s="30"/>
      <c r="C8" s="172"/>
      <c r="D8" s="173"/>
      <c r="E8" s="30"/>
      <c r="F8" s="46"/>
      <c r="G8" s="47"/>
      <c r="H8" s="48"/>
      <c r="I8" s="30"/>
      <c r="J8" s="71"/>
      <c r="K8" s="105"/>
      <c r="L8" s="106"/>
      <c r="M8" s="71"/>
    </row>
    <row r="9" spans="1:13" ht="15" customHeight="1" x14ac:dyDescent="0.35">
      <c r="A9" s="29"/>
      <c r="B9" s="30"/>
      <c r="C9" s="172"/>
      <c r="D9" s="173"/>
      <c r="E9" s="30"/>
      <c r="F9" s="46"/>
      <c r="G9" s="47"/>
      <c r="H9" s="48"/>
      <c r="I9" s="30"/>
      <c r="J9" s="71"/>
      <c r="K9" s="105"/>
      <c r="L9" s="106"/>
      <c r="M9" s="71"/>
    </row>
    <row r="10" spans="1:13" ht="15" thickBot="1" x14ac:dyDescent="0.4">
      <c r="A10" s="10"/>
      <c r="B10" s="33"/>
      <c r="C10" s="136"/>
      <c r="D10" s="137"/>
      <c r="E10" s="33"/>
      <c r="F10" s="55"/>
      <c r="G10" s="56"/>
      <c r="H10" s="36"/>
      <c r="I10" s="33"/>
      <c r="J10" s="69"/>
      <c r="K10" s="109"/>
      <c r="L10" s="110"/>
      <c r="M10" s="69"/>
    </row>
    <row r="11" spans="1:13" ht="15" thickBot="1" x14ac:dyDescent="0.4">
      <c r="A11" s="1" t="s">
        <v>184</v>
      </c>
      <c r="B11" s="59" t="s">
        <v>28</v>
      </c>
      <c r="C11" s="144" t="s">
        <v>16</v>
      </c>
      <c r="D11" s="145"/>
      <c r="E11" s="59" t="s">
        <v>284</v>
      </c>
      <c r="F11" s="62" t="s">
        <v>285</v>
      </c>
      <c r="G11" s="63"/>
      <c r="H11" s="37">
        <v>4</v>
      </c>
      <c r="I11" s="59" t="s">
        <v>29</v>
      </c>
      <c r="J11" s="64">
        <f>7.07/10^6</f>
        <v>7.0700000000000001E-6</v>
      </c>
      <c r="K11" s="102">
        <f>SUM(J11:J16)</f>
        <v>3.3089999999999997E-5</v>
      </c>
      <c r="L11" s="103"/>
      <c r="M11" s="68">
        <v>4</v>
      </c>
    </row>
    <row r="12" spans="1:13" ht="15" thickBot="1" x14ac:dyDescent="0.4">
      <c r="A12" s="29"/>
      <c r="B12" s="59" t="s">
        <v>30</v>
      </c>
      <c r="C12" s="144" t="s">
        <v>21</v>
      </c>
      <c r="D12" s="145"/>
      <c r="E12" s="59" t="s">
        <v>31</v>
      </c>
      <c r="F12" s="65"/>
      <c r="G12" s="66"/>
      <c r="H12" s="37">
        <v>7</v>
      </c>
      <c r="I12" s="59" t="s">
        <v>32</v>
      </c>
      <c r="J12" s="64">
        <f>1.24/10^6</f>
        <v>1.24E-6</v>
      </c>
      <c r="K12" s="105"/>
      <c r="L12" s="106"/>
      <c r="M12" s="71"/>
    </row>
    <row r="13" spans="1:13" x14ac:dyDescent="0.35">
      <c r="A13" s="29"/>
      <c r="B13" s="19" t="s">
        <v>33</v>
      </c>
      <c r="C13" s="134" t="s">
        <v>34</v>
      </c>
      <c r="D13" s="135"/>
      <c r="E13" s="67" t="s">
        <v>35</v>
      </c>
      <c r="F13" s="22" t="s">
        <v>36</v>
      </c>
      <c r="G13" s="23"/>
      <c r="H13" s="24">
        <v>6</v>
      </c>
      <c r="I13" s="19" t="s">
        <v>37</v>
      </c>
      <c r="J13" s="68">
        <f>0.6/10^6</f>
        <v>5.9999999999999997E-7</v>
      </c>
      <c r="K13" s="105"/>
      <c r="L13" s="106"/>
      <c r="M13" s="71"/>
    </row>
    <row r="14" spans="1:13" ht="15" customHeight="1" thickBot="1" x14ac:dyDescent="0.4">
      <c r="A14" s="29"/>
      <c r="B14" s="30"/>
      <c r="C14" s="136"/>
      <c r="D14" s="137"/>
      <c r="E14" s="59" t="s">
        <v>38</v>
      </c>
      <c r="F14" s="34"/>
      <c r="G14" s="35"/>
      <c r="H14" s="36"/>
      <c r="I14" s="33"/>
      <c r="J14" s="69"/>
      <c r="K14" s="105"/>
      <c r="L14" s="106"/>
      <c r="M14" s="71"/>
    </row>
    <row r="15" spans="1:13" ht="15" thickBot="1" x14ac:dyDescent="0.4">
      <c r="A15" s="29"/>
      <c r="B15" s="33"/>
      <c r="C15" s="144" t="s">
        <v>39</v>
      </c>
      <c r="D15" s="145"/>
      <c r="E15" s="59" t="s">
        <v>31</v>
      </c>
      <c r="F15" s="65"/>
      <c r="G15" s="66"/>
      <c r="H15" s="37">
        <v>6</v>
      </c>
      <c r="I15" s="59" t="s">
        <v>40</v>
      </c>
      <c r="J15" s="64">
        <f>19.07/10^6</f>
        <v>1.9069999999999999E-5</v>
      </c>
      <c r="K15" s="105"/>
      <c r="L15" s="106"/>
      <c r="M15" s="71"/>
    </row>
    <row r="16" spans="1:13" ht="15" thickBot="1" x14ac:dyDescent="0.4">
      <c r="A16" s="10"/>
      <c r="B16" s="59" t="s">
        <v>41</v>
      </c>
      <c r="C16" s="144" t="s">
        <v>39</v>
      </c>
      <c r="D16" s="145"/>
      <c r="E16" s="59" t="s">
        <v>31</v>
      </c>
      <c r="F16" s="65"/>
      <c r="G16" s="66"/>
      <c r="H16" s="37">
        <v>6</v>
      </c>
      <c r="I16" s="59" t="s">
        <v>42</v>
      </c>
      <c r="J16" s="64">
        <f>5.11/10^6</f>
        <v>5.1100000000000002E-6</v>
      </c>
      <c r="K16" s="109"/>
      <c r="L16" s="110"/>
      <c r="M16" s="69"/>
    </row>
    <row r="17" spans="1:13" ht="15" thickBot="1" x14ac:dyDescent="0.4">
      <c r="A17" s="1" t="s">
        <v>286</v>
      </c>
      <c r="B17" s="19" t="s">
        <v>44</v>
      </c>
      <c r="C17" s="144" t="s">
        <v>45</v>
      </c>
      <c r="D17" s="145"/>
      <c r="E17" s="59" t="s">
        <v>284</v>
      </c>
      <c r="F17" s="62" t="s">
        <v>285</v>
      </c>
      <c r="G17" s="63"/>
      <c r="H17" s="37">
        <v>4</v>
      </c>
      <c r="I17" s="67" t="s">
        <v>46</v>
      </c>
      <c r="J17" s="68">
        <f>0.57/10^6</f>
        <v>5.6999999999999994E-7</v>
      </c>
      <c r="K17" s="102">
        <f>SUM(J17:J26)</f>
        <v>1.4249999999999999E-6</v>
      </c>
      <c r="L17" s="103"/>
      <c r="M17" s="68">
        <v>2</v>
      </c>
    </row>
    <row r="18" spans="1:13" ht="15" thickBot="1" x14ac:dyDescent="0.4">
      <c r="A18" s="29"/>
      <c r="B18" s="30"/>
      <c r="C18" s="144" t="s">
        <v>16</v>
      </c>
      <c r="D18" s="145"/>
      <c r="E18" s="59" t="s">
        <v>284</v>
      </c>
      <c r="F18" s="62" t="s">
        <v>285</v>
      </c>
      <c r="G18" s="63"/>
      <c r="H18" s="37">
        <v>4</v>
      </c>
      <c r="I18" s="67" t="s">
        <v>186</v>
      </c>
      <c r="J18" s="71"/>
      <c r="K18" s="105"/>
      <c r="L18" s="106"/>
      <c r="M18" s="71"/>
    </row>
    <row r="19" spans="1:13" x14ac:dyDescent="0.35">
      <c r="A19" s="29"/>
      <c r="B19" s="30"/>
      <c r="C19" s="134" t="s">
        <v>21</v>
      </c>
      <c r="D19" s="135"/>
      <c r="E19" s="19" t="s">
        <v>284</v>
      </c>
      <c r="F19" s="42" t="s">
        <v>285</v>
      </c>
      <c r="G19" s="43"/>
      <c r="H19" s="24">
        <v>6</v>
      </c>
      <c r="I19" s="67"/>
      <c r="J19" s="71"/>
      <c r="K19" s="105"/>
      <c r="L19" s="106"/>
      <c r="M19" s="71"/>
    </row>
    <row r="20" spans="1:13" ht="28.5" customHeight="1" thickBot="1" x14ac:dyDescent="0.4">
      <c r="A20" s="29"/>
      <c r="B20" s="33"/>
      <c r="C20" s="136"/>
      <c r="D20" s="137"/>
      <c r="E20" s="33"/>
      <c r="F20" s="55"/>
      <c r="G20" s="56"/>
      <c r="H20" s="36"/>
      <c r="I20" s="59"/>
      <c r="J20" s="69"/>
      <c r="K20" s="105"/>
      <c r="L20" s="106"/>
      <c r="M20" s="71"/>
    </row>
    <row r="21" spans="1:13" ht="15" thickBot="1" x14ac:dyDescent="0.4">
      <c r="A21" s="29"/>
      <c r="B21" s="19" t="s">
        <v>48</v>
      </c>
      <c r="C21" s="146" t="s">
        <v>16</v>
      </c>
      <c r="D21" s="147"/>
      <c r="E21" s="59" t="s">
        <v>284</v>
      </c>
      <c r="F21" s="62" t="s">
        <v>285</v>
      </c>
      <c r="G21" s="63"/>
      <c r="H21" s="37">
        <v>4</v>
      </c>
      <c r="I21" s="67" t="s">
        <v>49</v>
      </c>
      <c r="J21" s="68">
        <f>0.855/10^6</f>
        <v>8.5499999999999997E-7</v>
      </c>
      <c r="K21" s="105"/>
      <c r="L21" s="106"/>
      <c r="M21" s="71"/>
    </row>
    <row r="22" spans="1:13" ht="15" thickBot="1" x14ac:dyDescent="0.4">
      <c r="A22" s="29"/>
      <c r="B22" s="30"/>
      <c r="C22" s="146" t="s">
        <v>21</v>
      </c>
      <c r="D22" s="147"/>
      <c r="E22" s="59" t="s">
        <v>284</v>
      </c>
      <c r="F22" s="65" t="s">
        <v>285</v>
      </c>
      <c r="G22" s="66"/>
      <c r="H22" s="37">
        <v>6</v>
      </c>
      <c r="I22" s="67" t="s">
        <v>187</v>
      </c>
      <c r="J22" s="71"/>
      <c r="K22" s="105"/>
      <c r="L22" s="106"/>
      <c r="M22" s="71"/>
    </row>
    <row r="23" spans="1:13" ht="15" thickBot="1" x14ac:dyDescent="0.4">
      <c r="A23" s="29"/>
      <c r="B23" s="30"/>
      <c r="C23" s="146" t="s">
        <v>51</v>
      </c>
      <c r="D23" s="147"/>
      <c r="E23" s="59" t="s">
        <v>31</v>
      </c>
      <c r="F23" s="62"/>
      <c r="G23" s="63"/>
      <c r="H23" s="37">
        <v>5</v>
      </c>
      <c r="I23" s="59"/>
      <c r="J23" s="69"/>
      <c r="K23" s="105"/>
      <c r="L23" s="106"/>
      <c r="M23" s="71"/>
    </row>
    <row r="24" spans="1:13" x14ac:dyDescent="0.35">
      <c r="A24" s="29"/>
      <c r="B24" s="30"/>
      <c r="C24" s="148" t="s">
        <v>52</v>
      </c>
      <c r="D24" s="149"/>
      <c r="E24" s="19" t="s">
        <v>31</v>
      </c>
      <c r="F24" s="42"/>
      <c r="G24" s="43"/>
      <c r="H24" s="24">
        <v>6</v>
      </c>
      <c r="I24" s="19" t="s">
        <v>24</v>
      </c>
      <c r="J24" s="125"/>
      <c r="K24" s="105"/>
      <c r="L24" s="106"/>
      <c r="M24" s="71"/>
    </row>
    <row r="25" spans="1:13" ht="15" customHeight="1" x14ac:dyDescent="0.35">
      <c r="A25" s="29"/>
      <c r="B25" s="30"/>
      <c r="C25" s="151"/>
      <c r="D25" s="152"/>
      <c r="E25" s="30"/>
      <c r="F25" s="46"/>
      <c r="G25" s="47"/>
      <c r="H25" s="48"/>
      <c r="I25" s="30"/>
      <c r="J25" s="200"/>
      <c r="K25" s="105"/>
      <c r="L25" s="106"/>
      <c r="M25" s="71"/>
    </row>
    <row r="26" spans="1:13" ht="45.75" customHeight="1" thickBot="1" x14ac:dyDescent="0.4">
      <c r="A26" s="10"/>
      <c r="B26" s="33"/>
      <c r="C26" s="154"/>
      <c r="D26" s="155"/>
      <c r="E26" s="33"/>
      <c r="F26" s="55"/>
      <c r="G26" s="56"/>
      <c r="H26" s="36"/>
      <c r="I26" s="33"/>
      <c r="J26" s="200"/>
      <c r="K26" s="109"/>
      <c r="L26" s="110"/>
      <c r="M26" s="69"/>
    </row>
    <row r="27" spans="1:13" x14ac:dyDescent="0.35">
      <c r="A27" s="1" t="s">
        <v>232</v>
      </c>
      <c r="B27" s="19"/>
      <c r="C27" s="148" t="s">
        <v>52</v>
      </c>
      <c r="D27" s="149"/>
      <c r="E27" s="19" t="s">
        <v>287</v>
      </c>
      <c r="F27" s="42"/>
      <c r="G27" s="43"/>
      <c r="H27" s="24">
        <v>4</v>
      </c>
      <c r="I27" s="19" t="s">
        <v>55</v>
      </c>
      <c r="J27" s="68">
        <f>2/10^6</f>
        <v>1.9999999999999999E-6</v>
      </c>
      <c r="K27" s="102">
        <f>SUM(J27:J37)</f>
        <v>1.6170000000000003E-5</v>
      </c>
      <c r="L27" s="103"/>
      <c r="M27" s="125"/>
    </row>
    <row r="28" spans="1:13" ht="15" thickBot="1" x14ac:dyDescent="0.4">
      <c r="A28" s="29"/>
      <c r="B28" s="30"/>
      <c r="C28" s="154"/>
      <c r="D28" s="155"/>
      <c r="E28" s="33"/>
      <c r="F28" s="55"/>
      <c r="G28" s="56"/>
      <c r="H28" s="36"/>
      <c r="I28" s="33"/>
      <c r="J28" s="69"/>
      <c r="K28" s="105"/>
      <c r="L28" s="106"/>
      <c r="M28" s="200"/>
    </row>
    <row r="29" spans="1:13" x14ac:dyDescent="0.35">
      <c r="A29" s="29"/>
      <c r="B29" s="30"/>
      <c r="C29" s="148" t="s">
        <v>56</v>
      </c>
      <c r="D29" s="149"/>
      <c r="E29" s="19" t="s">
        <v>288</v>
      </c>
      <c r="F29" s="42"/>
      <c r="G29" s="43"/>
      <c r="H29" s="24">
        <v>7</v>
      </c>
      <c r="I29" s="19" t="s">
        <v>58</v>
      </c>
      <c r="J29" s="68">
        <f>4.02/10^6</f>
        <v>4.0199999999999996E-6</v>
      </c>
      <c r="K29" s="105"/>
      <c r="L29" s="106"/>
      <c r="M29" s="200"/>
    </row>
    <row r="30" spans="1:13" x14ac:dyDescent="0.35">
      <c r="A30" s="29"/>
      <c r="B30" s="30"/>
      <c r="C30" s="151"/>
      <c r="D30" s="152"/>
      <c r="E30" s="30"/>
      <c r="F30" s="46"/>
      <c r="G30" s="47"/>
      <c r="H30" s="48"/>
      <c r="I30" s="30"/>
      <c r="J30" s="71"/>
      <c r="K30" s="105"/>
      <c r="L30" s="106"/>
      <c r="M30" s="200"/>
    </row>
    <row r="31" spans="1:13" x14ac:dyDescent="0.35">
      <c r="A31" s="29"/>
      <c r="B31" s="30"/>
      <c r="C31" s="151"/>
      <c r="D31" s="152"/>
      <c r="E31" s="30"/>
      <c r="F31" s="46"/>
      <c r="G31" s="47"/>
      <c r="H31" s="48"/>
      <c r="I31" s="30"/>
      <c r="J31" s="71"/>
      <c r="K31" s="105"/>
      <c r="L31" s="106"/>
      <c r="M31" s="200"/>
    </row>
    <row r="32" spans="1:13" x14ac:dyDescent="0.35">
      <c r="A32" s="29"/>
      <c r="B32" s="30"/>
      <c r="C32" s="151"/>
      <c r="D32" s="152"/>
      <c r="E32" s="30"/>
      <c r="F32" s="46"/>
      <c r="G32" s="47"/>
      <c r="H32" s="48"/>
      <c r="I32" s="30"/>
      <c r="J32" s="71"/>
      <c r="K32" s="105"/>
      <c r="L32" s="106"/>
      <c r="M32" s="200">
        <v>2</v>
      </c>
    </row>
    <row r="33" spans="1:13" x14ac:dyDescent="0.35">
      <c r="A33" s="29"/>
      <c r="B33" s="30"/>
      <c r="C33" s="151"/>
      <c r="D33" s="152"/>
      <c r="E33" s="30"/>
      <c r="F33" s="46"/>
      <c r="G33" s="47"/>
      <c r="H33" s="48"/>
      <c r="I33" s="30"/>
      <c r="J33" s="71"/>
      <c r="K33" s="105"/>
      <c r="L33" s="106"/>
      <c r="M33" s="200"/>
    </row>
    <row r="34" spans="1:13" ht="15.75" customHeight="1" thickBot="1" x14ac:dyDescent="0.4">
      <c r="A34" s="29"/>
      <c r="B34" s="30"/>
      <c r="C34" s="154"/>
      <c r="D34" s="155"/>
      <c r="E34" s="33"/>
      <c r="F34" s="55"/>
      <c r="G34" s="56"/>
      <c r="H34" s="36"/>
      <c r="I34" s="33"/>
      <c r="J34" s="69"/>
      <c r="K34" s="105"/>
      <c r="L34" s="106"/>
      <c r="M34" s="200"/>
    </row>
    <row r="35" spans="1:13" ht="28.5" customHeight="1" x14ac:dyDescent="0.35">
      <c r="A35" s="29"/>
      <c r="B35" s="30"/>
      <c r="C35" s="148" t="s">
        <v>59</v>
      </c>
      <c r="D35" s="149"/>
      <c r="E35" s="19" t="s">
        <v>289</v>
      </c>
      <c r="F35" s="174"/>
      <c r="G35" s="175" t="s">
        <v>290</v>
      </c>
      <c r="H35" s="24">
        <v>9</v>
      </c>
      <c r="I35" s="19" t="s">
        <v>62</v>
      </c>
      <c r="J35" s="68">
        <f>10.15/10^6</f>
        <v>1.0150000000000001E-5</v>
      </c>
      <c r="K35" s="105"/>
      <c r="L35" s="106"/>
      <c r="M35" s="200"/>
    </row>
    <row r="36" spans="1:13" ht="15.75" customHeight="1" x14ac:dyDescent="0.35">
      <c r="A36" s="29"/>
      <c r="B36" s="30"/>
      <c r="C36" s="151"/>
      <c r="D36" s="152"/>
      <c r="E36" s="30"/>
      <c r="F36" s="176"/>
      <c r="G36" s="177"/>
      <c r="H36" s="48"/>
      <c r="I36" s="30"/>
      <c r="J36" s="71"/>
      <c r="K36" s="105"/>
      <c r="L36" s="106"/>
      <c r="M36" s="200"/>
    </row>
    <row r="37" spans="1:13" ht="15" thickBot="1" x14ac:dyDescent="0.4">
      <c r="A37" s="10"/>
      <c r="B37" s="33"/>
      <c r="C37" s="154"/>
      <c r="D37" s="155"/>
      <c r="E37" s="33"/>
      <c r="F37" s="178"/>
      <c r="G37" s="179"/>
      <c r="H37" s="36"/>
      <c r="I37" s="33"/>
      <c r="J37" s="69"/>
      <c r="K37" s="109"/>
      <c r="L37" s="110"/>
      <c r="M37" s="132"/>
    </row>
    <row r="38" spans="1:13" ht="29.5" thickBot="1" x14ac:dyDescent="0.4">
      <c r="A38" s="1" t="s">
        <v>63</v>
      </c>
      <c r="B38" s="19" t="s">
        <v>64</v>
      </c>
      <c r="C38" s="146" t="s">
        <v>65</v>
      </c>
      <c r="D38" s="147"/>
      <c r="E38" s="59" t="s">
        <v>66</v>
      </c>
      <c r="F38" s="65"/>
      <c r="G38" s="66"/>
      <c r="H38" s="37">
        <v>5</v>
      </c>
      <c r="I38" s="67" t="s">
        <v>67</v>
      </c>
      <c r="J38" s="68">
        <f>2.33/10^6</f>
        <v>2.3300000000000001E-6</v>
      </c>
      <c r="K38" s="102">
        <f>SUM(J38:J43)</f>
        <v>2.3300000000000001E-6</v>
      </c>
      <c r="L38" s="103"/>
      <c r="M38" s="68">
        <v>2</v>
      </c>
    </row>
    <row r="39" spans="1:13" x14ac:dyDescent="0.35">
      <c r="A39" s="29"/>
      <c r="B39" s="30"/>
      <c r="C39" s="148" t="s">
        <v>68</v>
      </c>
      <c r="D39" s="149"/>
      <c r="E39" s="67" t="s">
        <v>237</v>
      </c>
      <c r="F39" s="22"/>
      <c r="G39" s="23"/>
      <c r="H39" s="24">
        <v>5</v>
      </c>
      <c r="I39" s="67" t="s">
        <v>238</v>
      </c>
      <c r="J39" s="71"/>
      <c r="K39" s="105"/>
      <c r="L39" s="106"/>
      <c r="M39" s="71"/>
    </row>
    <row r="40" spans="1:13" x14ac:dyDescent="0.35">
      <c r="A40" s="29"/>
      <c r="B40" s="30"/>
      <c r="C40" s="151"/>
      <c r="D40" s="152"/>
      <c r="E40" s="67" t="s">
        <v>239</v>
      </c>
      <c r="F40" s="72"/>
      <c r="G40" s="73"/>
      <c r="H40" s="48"/>
      <c r="I40" s="67"/>
      <c r="J40" s="71"/>
      <c r="K40" s="105"/>
      <c r="L40" s="106"/>
      <c r="M40" s="71"/>
    </row>
    <row r="41" spans="1:13" ht="29.5" thickBot="1" x14ac:dyDescent="0.4">
      <c r="A41" s="29"/>
      <c r="B41" s="30"/>
      <c r="C41" s="154"/>
      <c r="D41" s="155"/>
      <c r="E41" s="59" t="s">
        <v>291</v>
      </c>
      <c r="F41" s="34"/>
      <c r="G41" s="35"/>
      <c r="H41" s="36"/>
      <c r="I41" s="67"/>
      <c r="J41" s="71"/>
      <c r="K41" s="105"/>
      <c r="L41" s="106"/>
      <c r="M41" s="71"/>
    </row>
    <row r="42" spans="1:13" x14ac:dyDescent="0.35">
      <c r="A42" s="29"/>
      <c r="B42" s="30"/>
      <c r="C42" s="148" t="s">
        <v>72</v>
      </c>
      <c r="D42" s="149"/>
      <c r="E42" s="19" t="s">
        <v>73</v>
      </c>
      <c r="F42" s="22"/>
      <c r="G42" s="23"/>
      <c r="H42" s="24">
        <v>5</v>
      </c>
      <c r="I42" s="67"/>
      <c r="J42" s="71"/>
      <c r="K42" s="105"/>
      <c r="L42" s="106"/>
      <c r="M42" s="71"/>
    </row>
    <row r="43" spans="1:13" ht="15" thickBot="1" x14ac:dyDescent="0.4">
      <c r="A43" s="29"/>
      <c r="B43" s="33"/>
      <c r="C43" s="154"/>
      <c r="D43" s="155"/>
      <c r="E43" s="33"/>
      <c r="F43" s="34"/>
      <c r="G43" s="35"/>
      <c r="H43" s="36"/>
      <c r="I43" s="59"/>
      <c r="J43" s="69"/>
      <c r="K43" s="109"/>
      <c r="L43" s="110"/>
      <c r="M43" s="69"/>
    </row>
    <row r="44" spans="1:13" ht="15" thickBot="1" x14ac:dyDescent="0.4">
      <c r="A44" s="29"/>
      <c r="B44" s="19" t="s">
        <v>74</v>
      </c>
      <c r="C44" s="146" t="s">
        <v>65</v>
      </c>
      <c r="D44" s="147"/>
      <c r="E44" s="59" t="s">
        <v>75</v>
      </c>
      <c r="F44" s="65"/>
      <c r="G44" s="66"/>
      <c r="H44" s="37">
        <v>5</v>
      </c>
      <c r="I44" s="67" t="s">
        <v>76</v>
      </c>
      <c r="J44" s="68">
        <f>5.3/10^6</f>
        <v>5.3000000000000001E-6</v>
      </c>
      <c r="K44" s="102">
        <f>SUM(J44:J45)</f>
        <v>5.3000000000000001E-6</v>
      </c>
      <c r="L44" s="103"/>
      <c r="M44" s="68">
        <v>2</v>
      </c>
    </row>
    <row r="45" spans="1:13" ht="28.5" customHeight="1" x14ac:dyDescent="0.35">
      <c r="A45" s="29"/>
      <c r="B45" s="30"/>
      <c r="C45" s="148" t="s">
        <v>68</v>
      </c>
      <c r="D45" s="149"/>
      <c r="E45" s="67"/>
      <c r="F45" s="22"/>
      <c r="G45" s="23"/>
      <c r="H45" s="24">
        <v>5</v>
      </c>
      <c r="I45" s="67" t="s">
        <v>241</v>
      </c>
      <c r="J45" s="71"/>
      <c r="K45" s="105"/>
      <c r="L45" s="106"/>
      <c r="M45" s="71"/>
    </row>
    <row r="46" spans="1:13" ht="29.5" thickBot="1" x14ac:dyDescent="0.4">
      <c r="A46" s="29"/>
      <c r="B46" s="30"/>
      <c r="C46" s="154"/>
      <c r="D46" s="155"/>
      <c r="E46" s="59" t="s">
        <v>292</v>
      </c>
      <c r="F46" s="34"/>
      <c r="G46" s="35"/>
      <c r="H46" s="36"/>
      <c r="I46" s="67"/>
      <c r="J46" s="71"/>
      <c r="K46" s="105"/>
      <c r="L46" s="106"/>
      <c r="M46" s="71"/>
    </row>
    <row r="47" spans="1:13" ht="29.5" thickBot="1" x14ac:dyDescent="0.4">
      <c r="A47" s="29"/>
      <c r="B47" s="33"/>
      <c r="C47" s="146" t="s">
        <v>72</v>
      </c>
      <c r="D47" s="147"/>
      <c r="E47" s="59" t="s">
        <v>243</v>
      </c>
      <c r="F47" s="62"/>
      <c r="G47" s="63"/>
      <c r="H47" s="37">
        <v>6</v>
      </c>
      <c r="I47" s="59"/>
      <c r="J47" s="69"/>
      <c r="K47" s="109"/>
      <c r="L47" s="110"/>
      <c r="M47" s="69"/>
    </row>
    <row r="48" spans="1:13" x14ac:dyDescent="0.35">
      <c r="A48" s="29"/>
      <c r="B48" s="19" t="s">
        <v>80</v>
      </c>
      <c r="C48" s="148" t="s">
        <v>65</v>
      </c>
      <c r="D48" s="149"/>
      <c r="E48" s="19" t="s">
        <v>293</v>
      </c>
      <c r="F48" s="42"/>
      <c r="G48" s="43"/>
      <c r="H48" s="24">
        <v>5</v>
      </c>
      <c r="I48" s="67" t="s">
        <v>82</v>
      </c>
      <c r="J48" s="68">
        <f>0.46/10^6</f>
        <v>4.6000000000000004E-7</v>
      </c>
      <c r="K48" s="102">
        <f>SUM(J48:J53)</f>
        <v>1.0850000000000001E-5</v>
      </c>
      <c r="L48" s="103"/>
      <c r="M48" s="68">
        <v>3</v>
      </c>
    </row>
    <row r="49" spans="1:13" ht="15" thickBot="1" x14ac:dyDescent="0.4">
      <c r="A49" s="29"/>
      <c r="B49" s="30"/>
      <c r="C49" s="154"/>
      <c r="D49" s="155"/>
      <c r="E49" s="33"/>
      <c r="F49" s="55"/>
      <c r="G49" s="56"/>
      <c r="H49" s="36"/>
      <c r="I49" s="59" t="s">
        <v>244</v>
      </c>
      <c r="J49" s="69"/>
      <c r="K49" s="105"/>
      <c r="L49" s="106"/>
      <c r="M49" s="71"/>
    </row>
    <row r="50" spans="1:13" x14ac:dyDescent="0.35">
      <c r="A50" s="29"/>
      <c r="B50" s="30"/>
      <c r="C50" s="148" t="s">
        <v>84</v>
      </c>
      <c r="D50" s="149"/>
      <c r="E50" s="19" t="s">
        <v>245</v>
      </c>
      <c r="F50" s="42"/>
      <c r="G50" s="43"/>
      <c r="H50" s="24">
        <v>5</v>
      </c>
      <c r="I50" s="67" t="s">
        <v>86</v>
      </c>
      <c r="J50" s="68">
        <f>9.93/10^6</f>
        <v>9.9299999999999998E-6</v>
      </c>
      <c r="K50" s="105"/>
      <c r="L50" s="106"/>
      <c r="M50" s="71"/>
    </row>
    <row r="51" spans="1:13" ht="15" thickBot="1" x14ac:dyDescent="0.4">
      <c r="A51" s="29"/>
      <c r="B51" s="30"/>
      <c r="C51" s="154"/>
      <c r="D51" s="155"/>
      <c r="E51" s="33"/>
      <c r="F51" s="55"/>
      <c r="G51" s="56"/>
      <c r="H51" s="36"/>
      <c r="I51" s="59" t="s">
        <v>244</v>
      </c>
      <c r="J51" s="69"/>
      <c r="K51" s="105"/>
      <c r="L51" s="106"/>
      <c r="M51" s="71"/>
    </row>
    <row r="52" spans="1:13" x14ac:dyDescent="0.35">
      <c r="A52" s="29"/>
      <c r="B52" s="30"/>
      <c r="C52" s="148" t="s">
        <v>72</v>
      </c>
      <c r="D52" s="149"/>
      <c r="E52" s="19" t="s">
        <v>294</v>
      </c>
      <c r="F52" s="42"/>
      <c r="G52" s="43"/>
      <c r="H52" s="24">
        <v>5</v>
      </c>
      <c r="I52" s="67" t="s">
        <v>82</v>
      </c>
      <c r="J52" s="68">
        <f>0.46/10^6</f>
        <v>4.6000000000000004E-7</v>
      </c>
      <c r="K52" s="105"/>
      <c r="L52" s="106"/>
      <c r="M52" s="71"/>
    </row>
    <row r="53" spans="1:13" ht="15" thickBot="1" x14ac:dyDescent="0.4">
      <c r="A53" s="29"/>
      <c r="B53" s="33"/>
      <c r="C53" s="154"/>
      <c r="D53" s="155"/>
      <c r="E53" s="33"/>
      <c r="F53" s="55"/>
      <c r="G53" s="56"/>
      <c r="H53" s="36"/>
      <c r="I53" s="59" t="s">
        <v>244</v>
      </c>
      <c r="J53" s="69"/>
      <c r="K53" s="109"/>
      <c r="L53" s="110"/>
      <c r="M53" s="69"/>
    </row>
    <row r="54" spans="1:13" x14ac:dyDescent="0.35">
      <c r="A54" s="29"/>
      <c r="B54" s="19" t="s">
        <v>88</v>
      </c>
      <c r="C54" s="148" t="s">
        <v>65</v>
      </c>
      <c r="D54" s="149"/>
      <c r="E54" s="19" t="s">
        <v>89</v>
      </c>
      <c r="F54" s="42"/>
      <c r="G54" s="43"/>
      <c r="H54" s="24">
        <v>5</v>
      </c>
      <c r="I54" s="67" t="s">
        <v>90</v>
      </c>
      <c r="J54" s="68">
        <f>2.65/10^6</f>
        <v>2.65E-6</v>
      </c>
      <c r="K54" s="102">
        <f>SUM(J54:J63)</f>
        <v>4.6199999999999998E-6</v>
      </c>
      <c r="L54" s="103"/>
      <c r="M54" s="68">
        <v>2</v>
      </c>
    </row>
    <row r="55" spans="1:13" ht="15" thickBot="1" x14ac:dyDescent="0.4">
      <c r="A55" s="29"/>
      <c r="B55" s="30"/>
      <c r="C55" s="154"/>
      <c r="D55" s="155"/>
      <c r="E55" s="33"/>
      <c r="F55" s="55"/>
      <c r="G55" s="56"/>
      <c r="H55" s="36"/>
      <c r="I55" s="59" t="s">
        <v>247</v>
      </c>
      <c r="J55" s="69"/>
      <c r="K55" s="105"/>
      <c r="L55" s="106"/>
      <c r="M55" s="71"/>
    </row>
    <row r="56" spans="1:13" x14ac:dyDescent="0.35">
      <c r="A56" s="29"/>
      <c r="B56" s="30"/>
      <c r="C56" s="148" t="s">
        <v>68</v>
      </c>
      <c r="D56" s="149"/>
      <c r="E56" s="67" t="s">
        <v>92</v>
      </c>
      <c r="F56" s="22"/>
      <c r="G56" s="23"/>
      <c r="H56" s="24">
        <v>5</v>
      </c>
      <c r="I56" s="67" t="s">
        <v>93</v>
      </c>
      <c r="J56" s="68">
        <f>0.68/10^6</f>
        <v>6.8000000000000005E-7</v>
      </c>
      <c r="K56" s="105"/>
      <c r="L56" s="106"/>
      <c r="M56" s="71"/>
    </row>
    <row r="57" spans="1:13" x14ac:dyDescent="0.35">
      <c r="A57" s="29"/>
      <c r="B57" s="30"/>
      <c r="C57" s="151"/>
      <c r="D57" s="152"/>
      <c r="E57" s="201" t="s">
        <v>295</v>
      </c>
      <c r="F57" s="72"/>
      <c r="G57" s="73"/>
      <c r="H57" s="48"/>
      <c r="I57" s="67" t="s">
        <v>247</v>
      </c>
      <c r="J57" s="71"/>
      <c r="K57" s="105"/>
      <c r="L57" s="106"/>
      <c r="M57" s="71"/>
    </row>
    <row r="58" spans="1:13" x14ac:dyDescent="0.35">
      <c r="A58" s="29"/>
      <c r="B58" s="30"/>
      <c r="C58" s="151"/>
      <c r="D58" s="152"/>
      <c r="E58" s="201"/>
      <c r="F58" s="72"/>
      <c r="G58" s="73"/>
      <c r="H58" s="48"/>
      <c r="I58" s="67"/>
      <c r="J58" s="71"/>
      <c r="K58" s="105"/>
      <c r="L58" s="106"/>
      <c r="M58" s="71"/>
    </row>
    <row r="59" spans="1:13" ht="30" customHeight="1" thickBot="1" x14ac:dyDescent="0.4">
      <c r="A59" s="29"/>
      <c r="B59" s="30"/>
      <c r="C59" s="154"/>
      <c r="D59" s="155"/>
      <c r="E59" s="202"/>
      <c r="F59" s="34"/>
      <c r="G59" s="35"/>
      <c r="H59" s="36"/>
      <c r="I59" s="59"/>
      <c r="J59" s="69"/>
      <c r="K59" s="105"/>
      <c r="L59" s="106"/>
      <c r="M59" s="71"/>
    </row>
    <row r="60" spans="1:13" x14ac:dyDescent="0.35">
      <c r="A60" s="29"/>
      <c r="B60" s="30"/>
      <c r="C60" s="148" t="s">
        <v>72</v>
      </c>
      <c r="D60" s="149"/>
      <c r="E60" s="67" t="s">
        <v>96</v>
      </c>
      <c r="F60" s="22"/>
      <c r="G60" s="23"/>
      <c r="H60" s="24">
        <v>5</v>
      </c>
      <c r="I60" s="67" t="s">
        <v>97</v>
      </c>
      <c r="J60" s="68">
        <f>1.29/10^6</f>
        <v>1.2899999999999999E-6</v>
      </c>
      <c r="K60" s="105"/>
      <c r="L60" s="106"/>
      <c r="M60" s="71"/>
    </row>
    <row r="61" spans="1:13" ht="30" customHeight="1" x14ac:dyDescent="0.35">
      <c r="A61" s="29"/>
      <c r="B61" s="30"/>
      <c r="C61" s="151"/>
      <c r="D61" s="152"/>
      <c r="E61" s="67"/>
      <c r="F61" s="72"/>
      <c r="G61" s="73"/>
      <c r="H61" s="48"/>
      <c r="I61" s="67" t="s">
        <v>251</v>
      </c>
      <c r="J61" s="71"/>
      <c r="K61" s="105"/>
      <c r="L61" s="106"/>
      <c r="M61" s="71"/>
    </row>
    <row r="62" spans="1:13" x14ac:dyDescent="0.35">
      <c r="A62" s="29"/>
      <c r="B62" s="30"/>
      <c r="C62" s="151"/>
      <c r="D62" s="152"/>
      <c r="E62" s="201" t="s">
        <v>295</v>
      </c>
      <c r="F62" s="72"/>
      <c r="G62" s="73"/>
      <c r="H62" s="48"/>
      <c r="I62" s="67"/>
      <c r="J62" s="71"/>
      <c r="K62" s="105"/>
      <c r="L62" s="106"/>
      <c r="M62" s="71"/>
    </row>
    <row r="63" spans="1:13" ht="60" customHeight="1" thickBot="1" x14ac:dyDescent="0.4">
      <c r="A63" s="10"/>
      <c r="B63" s="33"/>
      <c r="C63" s="154"/>
      <c r="D63" s="155"/>
      <c r="E63" s="10"/>
      <c r="F63" s="34"/>
      <c r="G63" s="35"/>
      <c r="H63" s="36"/>
      <c r="I63" s="37"/>
      <c r="J63" s="69"/>
      <c r="K63" s="109"/>
      <c r="L63" s="110"/>
      <c r="M63" s="69"/>
    </row>
    <row r="64" spans="1:13" ht="15" thickBot="1" x14ac:dyDescent="0.4">
      <c r="A64" s="6" t="s">
        <v>296</v>
      </c>
      <c r="B64" s="19" t="s">
        <v>28</v>
      </c>
      <c r="C64" s="146" t="s">
        <v>101</v>
      </c>
      <c r="D64" s="147"/>
      <c r="E64" s="59" t="s">
        <v>297</v>
      </c>
      <c r="F64" s="62"/>
      <c r="G64" s="63"/>
      <c r="H64" s="37">
        <v>7</v>
      </c>
      <c r="I64" s="37" t="s">
        <v>103</v>
      </c>
      <c r="J64" s="64">
        <f>12.45/10^6</f>
        <v>1.2449999999999999E-5</v>
      </c>
      <c r="K64" s="102">
        <f>SUM(J64:J70)</f>
        <v>6.3650000000000002E-5</v>
      </c>
      <c r="L64" s="103"/>
      <c r="M64" s="68">
        <v>4</v>
      </c>
    </row>
    <row r="65" spans="1:13" ht="15" thickBot="1" x14ac:dyDescent="0.4">
      <c r="A65" s="119"/>
      <c r="B65" s="33"/>
      <c r="C65" s="146" t="s">
        <v>104</v>
      </c>
      <c r="D65" s="147"/>
      <c r="E65" s="59" t="s">
        <v>297</v>
      </c>
      <c r="F65" s="62"/>
      <c r="G65" s="63"/>
      <c r="H65" s="37">
        <v>7</v>
      </c>
      <c r="I65" s="37" t="s">
        <v>105</v>
      </c>
      <c r="J65" s="64">
        <f>24.22/10^6</f>
        <v>2.4219999999999999E-5</v>
      </c>
      <c r="K65" s="105"/>
      <c r="L65" s="106"/>
      <c r="M65" s="71"/>
    </row>
    <row r="66" spans="1:13" ht="43" customHeight="1" thickBot="1" x14ac:dyDescent="0.4">
      <c r="A66" s="119"/>
      <c r="B66" s="59" t="s">
        <v>30</v>
      </c>
      <c r="C66" s="146" t="s">
        <v>21</v>
      </c>
      <c r="D66" s="147"/>
      <c r="E66" s="59" t="s">
        <v>298</v>
      </c>
      <c r="F66" s="65"/>
      <c r="G66" s="66"/>
      <c r="H66" s="37">
        <v>8</v>
      </c>
      <c r="I66" s="37" t="s">
        <v>107</v>
      </c>
      <c r="J66" s="64">
        <f>3.02/10^6</f>
        <v>3.0199999999999999E-6</v>
      </c>
      <c r="K66" s="105"/>
      <c r="L66" s="106"/>
      <c r="M66" s="71"/>
    </row>
    <row r="67" spans="1:13" x14ac:dyDescent="0.35">
      <c r="A67" s="119"/>
      <c r="B67" s="19" t="s">
        <v>33</v>
      </c>
      <c r="C67" s="148" t="s">
        <v>34</v>
      </c>
      <c r="D67" s="149"/>
      <c r="E67" s="67" t="s">
        <v>35</v>
      </c>
      <c r="F67" s="22" t="s">
        <v>36</v>
      </c>
      <c r="G67" s="23"/>
      <c r="H67" s="24">
        <v>6</v>
      </c>
      <c r="I67" s="24" t="s">
        <v>108</v>
      </c>
      <c r="J67" s="68">
        <f>11.36/10^6</f>
        <v>1.136E-5</v>
      </c>
      <c r="K67" s="105"/>
      <c r="L67" s="106"/>
      <c r="M67" s="71"/>
    </row>
    <row r="68" spans="1:13" ht="15" thickBot="1" x14ac:dyDescent="0.4">
      <c r="A68" s="119"/>
      <c r="B68" s="30"/>
      <c r="C68" s="154"/>
      <c r="D68" s="155"/>
      <c r="E68" s="59" t="s">
        <v>297</v>
      </c>
      <c r="F68" s="34"/>
      <c r="G68" s="35"/>
      <c r="H68" s="36"/>
      <c r="I68" s="36"/>
      <c r="J68" s="69"/>
      <c r="K68" s="105"/>
      <c r="L68" s="106"/>
      <c r="M68" s="71"/>
    </row>
    <row r="69" spans="1:13" ht="29.5" thickBot="1" x14ac:dyDescent="0.4">
      <c r="A69" s="119"/>
      <c r="B69" s="33"/>
      <c r="C69" s="146" t="s">
        <v>39</v>
      </c>
      <c r="D69" s="147"/>
      <c r="E69" s="59" t="s">
        <v>299</v>
      </c>
      <c r="F69" s="65"/>
      <c r="G69" s="66"/>
      <c r="H69" s="37">
        <v>6</v>
      </c>
      <c r="I69" s="37" t="s">
        <v>111</v>
      </c>
      <c r="J69" s="64">
        <f>6.52/10^6</f>
        <v>6.5199999999999994E-6</v>
      </c>
      <c r="K69" s="105"/>
      <c r="L69" s="106"/>
      <c r="M69" s="71"/>
    </row>
    <row r="70" spans="1:13" ht="29.5" thickBot="1" x14ac:dyDescent="0.4">
      <c r="A70" s="15"/>
      <c r="B70" s="59" t="s">
        <v>41</v>
      </c>
      <c r="C70" s="146" t="s">
        <v>39</v>
      </c>
      <c r="D70" s="147"/>
      <c r="E70" s="59" t="s">
        <v>300</v>
      </c>
      <c r="F70" s="65"/>
      <c r="G70" s="66"/>
      <c r="H70" s="37">
        <v>8</v>
      </c>
      <c r="I70" s="37" t="s">
        <v>113</v>
      </c>
      <c r="J70" s="64">
        <f>6.08/10^6</f>
        <v>6.0800000000000002E-6</v>
      </c>
      <c r="K70" s="109"/>
      <c r="L70" s="110"/>
      <c r="M70" s="69"/>
    </row>
    <row r="71" spans="1:13" ht="15" thickBot="1" x14ac:dyDescent="0.4">
      <c r="A71" s="1" t="s">
        <v>114</v>
      </c>
      <c r="B71" s="19" t="s">
        <v>114</v>
      </c>
      <c r="C71" s="146" t="s">
        <v>34</v>
      </c>
      <c r="D71" s="147"/>
      <c r="E71" s="59" t="s">
        <v>115</v>
      </c>
      <c r="F71" s="62"/>
      <c r="G71" s="63"/>
      <c r="H71" s="37">
        <v>3</v>
      </c>
      <c r="I71" s="67" t="s">
        <v>116</v>
      </c>
      <c r="J71" s="68">
        <f>1/(14.2012*10^6)</f>
        <v>7.0416584513984728E-8</v>
      </c>
      <c r="K71" s="102">
        <f>SUM(J71:J74)</f>
        <v>7.0416584513984728E-8</v>
      </c>
      <c r="L71" s="103"/>
      <c r="M71" s="68">
        <v>1</v>
      </c>
    </row>
    <row r="72" spans="1:13" ht="86.5" customHeight="1" x14ac:dyDescent="0.35">
      <c r="A72" s="29"/>
      <c r="B72" s="30"/>
      <c r="C72" s="134" t="s">
        <v>117</v>
      </c>
      <c r="D72" s="135"/>
      <c r="E72" s="19" t="s">
        <v>118</v>
      </c>
      <c r="F72" s="22"/>
      <c r="G72" s="23"/>
      <c r="H72" s="24">
        <v>5</v>
      </c>
      <c r="I72" s="67" t="s">
        <v>258</v>
      </c>
      <c r="J72" s="71"/>
      <c r="K72" s="105"/>
      <c r="L72" s="106"/>
      <c r="M72" s="71"/>
    </row>
    <row r="73" spans="1:13" ht="30" customHeight="1" thickBot="1" x14ac:dyDescent="0.4">
      <c r="A73" s="29"/>
      <c r="B73" s="30"/>
      <c r="C73" s="136"/>
      <c r="D73" s="137"/>
      <c r="E73" s="33"/>
      <c r="F73" s="34"/>
      <c r="G73" s="35"/>
      <c r="H73" s="36"/>
      <c r="I73" s="67" t="s">
        <v>120</v>
      </c>
      <c r="J73" s="71"/>
      <c r="K73" s="105"/>
      <c r="L73" s="106"/>
      <c r="M73" s="71"/>
    </row>
    <row r="74" spans="1:13" ht="15" thickBot="1" x14ac:dyDescent="0.4">
      <c r="A74" s="10"/>
      <c r="B74" s="33"/>
      <c r="C74" s="144" t="s">
        <v>52</v>
      </c>
      <c r="D74" s="145"/>
      <c r="E74" s="59" t="s">
        <v>121</v>
      </c>
      <c r="F74" s="62"/>
      <c r="G74" s="63"/>
      <c r="H74" s="37">
        <v>4</v>
      </c>
      <c r="I74" s="59"/>
      <c r="J74" s="69"/>
      <c r="K74" s="109"/>
      <c r="L74" s="110"/>
      <c r="M74" s="69"/>
    </row>
    <row r="75" spans="1:13" x14ac:dyDescent="0.35">
      <c r="A75" s="1" t="s">
        <v>301</v>
      </c>
      <c r="B75" s="19" t="s">
        <v>191</v>
      </c>
      <c r="C75" s="148" t="s">
        <v>192</v>
      </c>
      <c r="D75" s="149"/>
      <c r="E75" s="67" t="s">
        <v>193</v>
      </c>
      <c r="F75" s="162" t="s">
        <v>194</v>
      </c>
      <c r="G75" s="163"/>
      <c r="H75" s="24">
        <v>8</v>
      </c>
      <c r="I75" s="19" t="s">
        <v>302</v>
      </c>
      <c r="J75" s="68">
        <f>2.55/10^6</f>
        <v>2.5499999999999997E-6</v>
      </c>
      <c r="K75" s="102">
        <f>SUM(J75:J111)</f>
        <v>2.7201356666689986E-4</v>
      </c>
      <c r="L75" s="103"/>
      <c r="M75" s="68">
        <v>4</v>
      </c>
    </row>
    <row r="76" spans="1:13" x14ac:dyDescent="0.35">
      <c r="A76" s="29"/>
      <c r="B76" s="30"/>
      <c r="C76" s="151"/>
      <c r="D76" s="152"/>
      <c r="E76" s="30" t="s">
        <v>196</v>
      </c>
      <c r="F76" s="164"/>
      <c r="G76" s="165"/>
      <c r="H76" s="48"/>
      <c r="I76" s="30"/>
      <c r="J76" s="71"/>
      <c r="K76" s="105"/>
      <c r="L76" s="106"/>
      <c r="M76" s="71"/>
    </row>
    <row r="77" spans="1:13" ht="15" thickBot="1" x14ac:dyDescent="0.4">
      <c r="A77" s="29"/>
      <c r="B77" s="30"/>
      <c r="C77" s="154"/>
      <c r="D77" s="155"/>
      <c r="E77" s="33"/>
      <c r="F77" s="166"/>
      <c r="G77" s="167"/>
      <c r="H77" s="36"/>
      <c r="I77" s="33"/>
      <c r="J77" s="69"/>
      <c r="K77" s="105"/>
      <c r="L77" s="106"/>
      <c r="M77" s="71"/>
    </row>
    <row r="78" spans="1:13" ht="29.5" thickBot="1" x14ac:dyDescent="0.4">
      <c r="A78" s="29"/>
      <c r="B78" s="30"/>
      <c r="C78" s="168" t="s">
        <v>197</v>
      </c>
      <c r="D78" s="169" t="s">
        <v>198</v>
      </c>
      <c r="E78" s="19" t="s">
        <v>199</v>
      </c>
      <c r="F78" s="42"/>
      <c r="G78" s="43"/>
      <c r="H78" s="24">
        <v>9</v>
      </c>
      <c r="I78" s="19" t="s">
        <v>303</v>
      </c>
      <c r="J78" s="68">
        <f>6.01/10^6</f>
        <v>6.0100000000000001E-6</v>
      </c>
      <c r="K78" s="105"/>
      <c r="L78" s="106"/>
      <c r="M78" s="71"/>
    </row>
    <row r="79" spans="1:13" ht="29.5" thickBot="1" x14ac:dyDescent="0.4">
      <c r="A79" s="29"/>
      <c r="B79" s="30"/>
      <c r="C79" s="168" t="s">
        <v>201</v>
      </c>
      <c r="D79" s="170"/>
      <c r="E79" s="30"/>
      <c r="F79" s="46"/>
      <c r="G79" s="47"/>
      <c r="H79" s="48"/>
      <c r="I79" s="30"/>
      <c r="J79" s="71"/>
      <c r="K79" s="105"/>
      <c r="L79" s="106"/>
      <c r="M79" s="71"/>
    </row>
    <row r="80" spans="1:13" ht="15" thickBot="1" x14ac:dyDescent="0.4">
      <c r="A80" s="29"/>
      <c r="B80" s="30"/>
      <c r="C80" s="168" t="s">
        <v>202</v>
      </c>
      <c r="D80" s="170"/>
      <c r="E80" s="30"/>
      <c r="F80" s="46"/>
      <c r="G80" s="47"/>
      <c r="H80" s="48"/>
      <c r="I80" s="30"/>
      <c r="J80" s="71"/>
      <c r="K80" s="105"/>
      <c r="L80" s="106"/>
      <c r="M80" s="71"/>
    </row>
    <row r="81" spans="1:22" x14ac:dyDescent="0.35">
      <c r="A81" s="29"/>
      <c r="B81" s="30"/>
      <c r="C81" s="19" t="s">
        <v>203</v>
      </c>
      <c r="D81" s="170"/>
      <c r="E81" s="30"/>
      <c r="F81" s="46"/>
      <c r="G81" s="47"/>
      <c r="H81" s="48"/>
      <c r="I81" s="30"/>
      <c r="J81" s="71"/>
      <c r="K81" s="105"/>
      <c r="L81" s="106"/>
      <c r="M81" s="71"/>
    </row>
    <row r="82" spans="1:22" ht="15" thickBot="1" x14ac:dyDescent="0.4">
      <c r="A82" s="29"/>
      <c r="B82" s="30"/>
      <c r="C82" s="33"/>
      <c r="D82" s="170"/>
      <c r="E82" s="30"/>
      <c r="F82" s="46"/>
      <c r="G82" s="47"/>
      <c r="H82" s="48"/>
      <c r="I82" s="30"/>
      <c r="J82" s="71"/>
      <c r="K82" s="105"/>
      <c r="L82" s="106"/>
      <c r="M82" s="71"/>
    </row>
    <row r="83" spans="1:22" x14ac:dyDescent="0.35">
      <c r="A83" s="29"/>
      <c r="B83" s="30"/>
      <c r="C83" s="19" t="s">
        <v>204</v>
      </c>
      <c r="D83" s="170"/>
      <c r="E83" s="30"/>
      <c r="F83" s="46"/>
      <c r="G83" s="47"/>
      <c r="H83" s="48"/>
      <c r="I83" s="30"/>
      <c r="J83" s="71"/>
      <c r="K83" s="105"/>
      <c r="L83" s="106"/>
      <c r="M83" s="71"/>
    </row>
    <row r="84" spans="1:22" ht="15" thickBot="1" x14ac:dyDescent="0.4">
      <c r="A84" s="29"/>
      <c r="B84" s="30"/>
      <c r="C84" s="33"/>
      <c r="D84" s="170"/>
      <c r="E84" s="30"/>
      <c r="F84" s="46"/>
      <c r="G84" s="47"/>
      <c r="H84" s="48"/>
      <c r="I84" s="30"/>
      <c r="J84" s="71"/>
      <c r="K84" s="105"/>
      <c r="L84" s="106"/>
      <c r="M84" s="71"/>
    </row>
    <row r="85" spans="1:22" x14ac:dyDescent="0.35">
      <c r="A85" s="29"/>
      <c r="B85" s="30"/>
      <c r="C85" s="19" t="s">
        <v>205</v>
      </c>
      <c r="D85" s="170"/>
      <c r="E85" s="30"/>
      <c r="F85" s="46"/>
      <c r="G85" s="47"/>
      <c r="H85" s="48"/>
      <c r="I85" s="30"/>
      <c r="J85" s="71"/>
      <c r="K85" s="105"/>
      <c r="L85" s="106"/>
      <c r="M85" s="71"/>
    </row>
    <row r="86" spans="1:22" ht="15" thickBot="1" x14ac:dyDescent="0.4">
      <c r="A86" s="29"/>
      <c r="B86" s="33"/>
      <c r="C86" s="33"/>
      <c r="D86" s="171"/>
      <c r="E86" s="33"/>
      <c r="F86" s="55"/>
      <c r="G86" s="56"/>
      <c r="H86" s="36"/>
      <c r="I86" s="33"/>
      <c r="J86" s="69"/>
      <c r="K86" s="105"/>
      <c r="L86" s="106"/>
      <c r="M86" s="71"/>
    </row>
    <row r="87" spans="1:22" ht="15" thickBot="1" x14ac:dyDescent="0.4">
      <c r="A87" s="29"/>
      <c r="B87" s="59" t="s">
        <v>206</v>
      </c>
      <c r="C87" s="60" t="s">
        <v>39</v>
      </c>
      <c r="D87" s="61"/>
      <c r="E87" s="59" t="s">
        <v>207</v>
      </c>
      <c r="F87" s="76" t="s">
        <v>208</v>
      </c>
      <c r="G87" s="77"/>
      <c r="H87" s="37">
        <v>4</v>
      </c>
      <c r="I87" s="59" t="s">
        <v>209</v>
      </c>
      <c r="J87" s="203">
        <f>1/4285.71</f>
        <v>2.3333356666689999E-4</v>
      </c>
      <c r="K87" s="105"/>
      <c r="L87" s="106"/>
      <c r="M87" s="71"/>
    </row>
    <row r="88" spans="1:22" x14ac:dyDescent="0.35">
      <c r="A88" s="29"/>
      <c r="B88" s="19" t="s">
        <v>210</v>
      </c>
      <c r="C88" s="20" t="s">
        <v>39</v>
      </c>
      <c r="D88" s="21"/>
      <c r="E88" s="19" t="s">
        <v>211</v>
      </c>
      <c r="F88" s="22"/>
      <c r="G88" s="23"/>
      <c r="H88" s="24">
        <v>4</v>
      </c>
      <c r="I88" s="19" t="s">
        <v>302</v>
      </c>
      <c r="J88" s="68">
        <f>2.55/10^6</f>
        <v>2.5499999999999997E-6</v>
      </c>
      <c r="K88" s="105"/>
      <c r="L88" s="106"/>
      <c r="M88" s="71"/>
    </row>
    <row r="89" spans="1:22" ht="86.5" customHeight="1" x14ac:dyDescent="0.35">
      <c r="A89" s="29"/>
      <c r="B89" s="30"/>
      <c r="C89" s="44"/>
      <c r="D89" s="45"/>
      <c r="E89" s="30"/>
      <c r="F89" s="72"/>
      <c r="G89" s="73"/>
      <c r="H89" s="48"/>
      <c r="I89" s="30"/>
      <c r="J89" s="71"/>
      <c r="K89" s="105"/>
      <c r="L89" s="106"/>
      <c r="M89" s="71"/>
    </row>
    <row r="90" spans="1:22" ht="15" thickBot="1" x14ac:dyDescent="0.4">
      <c r="A90" s="29"/>
      <c r="B90" s="33"/>
      <c r="C90" s="31"/>
      <c r="D90" s="32"/>
      <c r="E90" s="33"/>
      <c r="F90" s="34"/>
      <c r="G90" s="35"/>
      <c r="H90" s="36"/>
      <c r="I90" s="33"/>
      <c r="J90" s="69"/>
      <c r="K90" s="105"/>
      <c r="L90" s="106"/>
      <c r="M90" s="71"/>
    </row>
    <row r="91" spans="1:22" s="204" customFormat="1" ht="15" thickBot="1" x14ac:dyDescent="0.4">
      <c r="A91" s="29"/>
      <c r="B91" s="59" t="s">
        <v>213</v>
      </c>
      <c r="C91" s="60" t="s">
        <v>214</v>
      </c>
      <c r="D91" s="61"/>
      <c r="E91" s="59" t="s">
        <v>215</v>
      </c>
      <c r="F91" s="62"/>
      <c r="G91" s="63"/>
      <c r="H91" s="37">
        <v>6</v>
      </c>
      <c r="I91" s="59" t="s">
        <v>304</v>
      </c>
      <c r="J91" s="203">
        <f>2.84/10^6</f>
        <v>2.8399999999999999E-6</v>
      </c>
      <c r="K91" s="105"/>
      <c r="L91" s="106"/>
      <c r="M91" s="71"/>
      <c r="N91" s="127"/>
      <c r="O91" s="127"/>
      <c r="P91" s="127"/>
      <c r="Q91" s="127"/>
      <c r="R91" s="127"/>
      <c r="S91" s="127"/>
      <c r="T91" s="127"/>
      <c r="U91" s="127"/>
      <c r="V91" s="127"/>
    </row>
    <row r="92" spans="1:22" ht="28.5" customHeight="1" x14ac:dyDescent="0.35">
      <c r="A92" s="29"/>
      <c r="B92" s="19" t="s">
        <v>217</v>
      </c>
      <c r="C92" s="148" t="s">
        <v>52</v>
      </c>
      <c r="D92" s="149"/>
      <c r="E92" s="19" t="s">
        <v>218</v>
      </c>
      <c r="F92" s="22" t="s">
        <v>219</v>
      </c>
      <c r="G92" s="23"/>
      <c r="H92" s="24">
        <v>6</v>
      </c>
      <c r="I92" s="19" t="s">
        <v>304</v>
      </c>
      <c r="J92" s="68">
        <f>2.84/10^6</f>
        <v>2.8399999999999999E-6</v>
      </c>
      <c r="K92" s="105"/>
      <c r="L92" s="106"/>
      <c r="M92" s="71"/>
    </row>
    <row r="93" spans="1:22" x14ac:dyDescent="0.35">
      <c r="A93" s="29"/>
      <c r="B93" s="30"/>
      <c r="C93" s="151"/>
      <c r="D93" s="152"/>
      <c r="E93" s="30"/>
      <c r="F93" s="72"/>
      <c r="G93" s="73"/>
      <c r="H93" s="48"/>
      <c r="I93" s="30"/>
      <c r="J93" s="71"/>
      <c r="K93" s="105"/>
      <c r="L93" s="106"/>
      <c r="M93" s="71"/>
    </row>
    <row r="94" spans="1:22" ht="36.75" customHeight="1" x14ac:dyDescent="0.35">
      <c r="A94" s="29"/>
      <c r="B94" s="30"/>
      <c r="C94" s="151"/>
      <c r="D94" s="152"/>
      <c r="E94" s="30"/>
      <c r="F94" s="72"/>
      <c r="G94" s="73"/>
      <c r="H94" s="48"/>
      <c r="I94" s="30"/>
      <c r="J94" s="71"/>
      <c r="K94" s="105"/>
      <c r="L94" s="106"/>
      <c r="M94" s="71"/>
    </row>
    <row r="95" spans="1:22" x14ac:dyDescent="0.35">
      <c r="A95" s="29"/>
      <c r="B95" s="30"/>
      <c r="C95" s="151"/>
      <c r="D95" s="152"/>
      <c r="E95" s="30"/>
      <c r="F95" s="72"/>
      <c r="G95" s="73"/>
      <c r="H95" s="48"/>
      <c r="I95" s="30"/>
      <c r="J95" s="71"/>
      <c r="K95" s="105"/>
      <c r="L95" s="106"/>
      <c r="M95" s="71"/>
    </row>
    <row r="96" spans="1:22" ht="42.75" customHeight="1" x14ac:dyDescent="0.35">
      <c r="A96" s="29"/>
      <c r="B96" s="30"/>
      <c r="C96" s="151"/>
      <c r="D96" s="152"/>
      <c r="E96" s="30"/>
      <c r="F96" s="72"/>
      <c r="G96" s="73"/>
      <c r="H96" s="48"/>
      <c r="I96" s="30"/>
      <c r="J96" s="71"/>
      <c r="K96" s="105"/>
      <c r="L96" s="106"/>
      <c r="M96" s="71"/>
    </row>
    <row r="97" spans="1:22" x14ac:dyDescent="0.35">
      <c r="A97" s="29"/>
      <c r="B97" s="30"/>
      <c r="C97" s="151"/>
      <c r="D97" s="152"/>
      <c r="E97" s="30"/>
      <c r="F97" s="72"/>
      <c r="G97" s="73"/>
      <c r="H97" s="48"/>
      <c r="I97" s="30"/>
      <c r="J97" s="71"/>
      <c r="K97" s="105"/>
      <c r="L97" s="106"/>
      <c r="M97" s="71"/>
    </row>
    <row r="98" spans="1:22" x14ac:dyDescent="0.35">
      <c r="A98" s="29"/>
      <c r="B98" s="30"/>
      <c r="C98" s="151"/>
      <c r="D98" s="152"/>
      <c r="E98" s="30"/>
      <c r="F98" s="72"/>
      <c r="G98" s="73"/>
      <c r="H98" s="48"/>
      <c r="I98" s="30"/>
      <c r="J98" s="71"/>
      <c r="K98" s="105"/>
      <c r="L98" s="106"/>
      <c r="M98" s="71"/>
    </row>
    <row r="99" spans="1:22" x14ac:dyDescent="0.35">
      <c r="A99" s="29"/>
      <c r="B99" s="30"/>
      <c r="C99" s="151"/>
      <c r="D99" s="152"/>
      <c r="E99" s="30"/>
      <c r="F99" s="72"/>
      <c r="G99" s="73"/>
      <c r="H99" s="48"/>
      <c r="I99" s="30"/>
      <c r="J99" s="71"/>
      <c r="K99" s="105"/>
      <c r="L99" s="106"/>
      <c r="M99" s="71"/>
    </row>
    <row r="100" spans="1:22" ht="35.25" customHeight="1" x14ac:dyDescent="0.35">
      <c r="A100" s="29"/>
      <c r="B100" s="30"/>
      <c r="C100" s="151"/>
      <c r="D100" s="152"/>
      <c r="E100" s="30"/>
      <c r="F100" s="72"/>
      <c r="G100" s="73"/>
      <c r="H100" s="48"/>
      <c r="I100" s="30"/>
      <c r="J100" s="71"/>
      <c r="K100" s="105"/>
      <c r="L100" s="106"/>
      <c r="M100" s="71"/>
    </row>
    <row r="101" spans="1:22" ht="30.75" customHeight="1" x14ac:dyDescent="0.35">
      <c r="A101" s="29"/>
      <c r="B101" s="30"/>
      <c r="C101" s="151"/>
      <c r="D101" s="152"/>
      <c r="E101" s="30"/>
      <c r="F101" s="72"/>
      <c r="G101" s="73"/>
      <c r="H101" s="48"/>
      <c r="I101" s="30"/>
      <c r="J101" s="71"/>
      <c r="K101" s="105"/>
      <c r="L101" s="106"/>
      <c r="M101" s="71"/>
    </row>
    <row r="102" spans="1:22" ht="38.25" customHeight="1" x14ac:dyDescent="0.35">
      <c r="A102" s="29"/>
      <c r="B102" s="30"/>
      <c r="C102" s="151"/>
      <c r="D102" s="152"/>
      <c r="E102" s="30"/>
      <c r="F102" s="72"/>
      <c r="G102" s="73"/>
      <c r="H102" s="48"/>
      <c r="I102" s="30"/>
      <c r="J102" s="71"/>
      <c r="K102" s="105"/>
      <c r="L102" s="106"/>
      <c r="M102" s="71"/>
    </row>
    <row r="103" spans="1:22" ht="29.5" thickBot="1" x14ac:dyDescent="0.4">
      <c r="A103" s="29"/>
      <c r="B103" s="30"/>
      <c r="C103" s="151"/>
      <c r="D103" s="152"/>
      <c r="E103" s="33"/>
      <c r="F103" s="34"/>
      <c r="G103" s="35"/>
      <c r="H103" s="36"/>
      <c r="I103" s="33"/>
      <c r="J103" s="69"/>
      <c r="K103" s="105"/>
      <c r="L103" s="106"/>
      <c r="M103" s="71"/>
      <c r="O103" s="117" t="s">
        <v>221</v>
      </c>
      <c r="P103" s="127" t="s">
        <v>222</v>
      </c>
      <c r="R103" s="127" t="s">
        <v>223</v>
      </c>
    </row>
    <row r="104" spans="1:22" ht="15" thickBot="1" x14ac:dyDescent="0.4">
      <c r="A104" s="29"/>
      <c r="B104" s="33"/>
      <c r="C104" s="154"/>
      <c r="D104" s="155"/>
      <c r="E104" s="59" t="s">
        <v>21</v>
      </c>
      <c r="F104" s="65"/>
      <c r="G104" s="66"/>
      <c r="H104" s="37">
        <v>9</v>
      </c>
      <c r="I104" s="59" t="s">
        <v>302</v>
      </c>
      <c r="J104" s="203">
        <f>2.55/10^6</f>
        <v>2.5499999999999997E-6</v>
      </c>
      <c r="K104" s="105"/>
      <c r="L104" s="106"/>
      <c r="M104" s="71"/>
      <c r="O104" s="127" t="s">
        <v>225</v>
      </c>
    </row>
    <row r="105" spans="1:22" s="204" customFormat="1" ht="29.5" thickBot="1" x14ac:dyDescent="0.4">
      <c r="A105" s="29"/>
      <c r="B105" s="19" t="s">
        <v>226</v>
      </c>
      <c r="C105" s="146" t="s">
        <v>227</v>
      </c>
      <c r="D105" s="147"/>
      <c r="E105" s="59" t="s">
        <v>228</v>
      </c>
      <c r="F105" s="62"/>
      <c r="G105" s="63"/>
      <c r="H105" s="37">
        <v>7</v>
      </c>
      <c r="I105" s="59" t="s">
        <v>304</v>
      </c>
      <c r="J105" s="203">
        <f>2.84/10^6</f>
        <v>2.8399999999999999E-6</v>
      </c>
      <c r="K105" s="105"/>
      <c r="L105" s="106"/>
      <c r="M105" s="71"/>
      <c r="N105" s="127"/>
      <c r="O105" s="127"/>
      <c r="P105" s="127"/>
      <c r="Q105" s="127"/>
      <c r="R105" s="127"/>
      <c r="S105" s="127"/>
      <c r="T105" s="127"/>
      <c r="U105" s="127"/>
      <c r="V105" s="127"/>
    </row>
    <row r="106" spans="1:22" ht="43" customHeight="1" x14ac:dyDescent="0.35">
      <c r="A106" s="29"/>
      <c r="B106" s="30"/>
      <c r="C106" s="148" t="s">
        <v>52</v>
      </c>
      <c r="D106" s="149"/>
      <c r="E106" s="19" t="s">
        <v>230</v>
      </c>
      <c r="F106" s="42"/>
      <c r="G106" s="43"/>
      <c r="H106" s="24">
        <v>8</v>
      </c>
      <c r="I106" s="19" t="s">
        <v>302</v>
      </c>
      <c r="J106" s="68">
        <f>2.55/10^6</f>
        <v>2.5499999999999997E-6</v>
      </c>
      <c r="K106" s="105"/>
      <c r="L106" s="106"/>
      <c r="M106" s="71"/>
    </row>
    <row r="107" spans="1:22" ht="15" thickBot="1" x14ac:dyDescent="0.4">
      <c r="A107" s="29"/>
      <c r="B107" s="30"/>
      <c r="C107" s="154"/>
      <c r="D107" s="155"/>
      <c r="E107" s="33"/>
      <c r="F107" s="55"/>
      <c r="G107" s="56"/>
      <c r="H107" s="36"/>
      <c r="I107" s="33"/>
      <c r="J107" s="69"/>
      <c r="K107" s="105"/>
      <c r="L107" s="106"/>
      <c r="M107" s="71"/>
    </row>
    <row r="108" spans="1:22" ht="15" thickBot="1" x14ac:dyDescent="0.4">
      <c r="A108" s="29"/>
      <c r="B108" s="33"/>
      <c r="C108" s="146" t="s">
        <v>231</v>
      </c>
      <c r="D108" s="147"/>
      <c r="E108" s="59" t="s">
        <v>230</v>
      </c>
      <c r="F108" s="65"/>
      <c r="G108" s="66"/>
      <c r="H108" s="37">
        <v>8</v>
      </c>
      <c r="I108" s="59" t="s">
        <v>302</v>
      </c>
      <c r="J108" s="203">
        <f>2.55/10^6</f>
        <v>2.5499999999999997E-6</v>
      </c>
      <c r="K108" s="105"/>
      <c r="L108" s="106"/>
      <c r="M108" s="71"/>
    </row>
    <row r="109" spans="1:22" ht="29.5" thickBot="1" x14ac:dyDescent="0.4">
      <c r="A109" s="29"/>
      <c r="B109" s="68" t="s">
        <v>305</v>
      </c>
      <c r="C109" s="107" t="s">
        <v>306</v>
      </c>
      <c r="D109" s="108"/>
      <c r="E109" s="101" t="s">
        <v>307</v>
      </c>
      <c r="F109" s="205"/>
      <c r="G109" s="206"/>
      <c r="H109" s="84">
        <v>7</v>
      </c>
      <c r="I109" s="64" t="s">
        <v>304</v>
      </c>
      <c r="J109" s="203">
        <f>2.84/10^6</f>
        <v>2.8399999999999999E-6</v>
      </c>
      <c r="K109" s="105"/>
      <c r="L109" s="106"/>
      <c r="M109" s="71"/>
    </row>
    <row r="110" spans="1:22" ht="29.5" thickBot="1" x14ac:dyDescent="0.4">
      <c r="A110" s="29"/>
      <c r="B110" s="71"/>
      <c r="C110" s="107" t="s">
        <v>52</v>
      </c>
      <c r="D110" s="108"/>
      <c r="E110" s="101" t="s">
        <v>308</v>
      </c>
      <c r="F110" s="207"/>
      <c r="G110" s="208"/>
      <c r="H110" s="84">
        <v>9</v>
      </c>
      <c r="I110" s="64" t="s">
        <v>303</v>
      </c>
      <c r="J110" s="203">
        <f>6.01/10^6</f>
        <v>6.0100000000000001E-6</v>
      </c>
      <c r="K110" s="105"/>
      <c r="L110" s="106"/>
      <c r="M110" s="71"/>
    </row>
    <row r="111" spans="1:22" ht="15" thickBot="1" x14ac:dyDescent="0.4">
      <c r="A111" s="10"/>
      <c r="B111" s="69"/>
      <c r="C111" s="107" t="s">
        <v>309</v>
      </c>
      <c r="D111" s="108"/>
      <c r="E111" s="64" t="s">
        <v>38</v>
      </c>
      <c r="F111" s="205"/>
      <c r="G111" s="206"/>
      <c r="H111" s="84">
        <v>7</v>
      </c>
      <c r="I111" s="64" t="s">
        <v>302</v>
      </c>
      <c r="J111" s="203">
        <f>2.55/10^6</f>
        <v>2.5499999999999997E-6</v>
      </c>
      <c r="K111" s="109"/>
      <c r="L111" s="110"/>
      <c r="M111" s="69"/>
    </row>
    <row r="112" spans="1:22" ht="9.75" customHeight="1" thickBot="1" x14ac:dyDescent="0.4">
      <c r="A112" s="78" t="s">
        <v>310</v>
      </c>
      <c r="B112" s="68"/>
      <c r="C112" s="180" t="s">
        <v>52</v>
      </c>
      <c r="D112" s="181"/>
      <c r="E112" s="64" t="s">
        <v>311</v>
      </c>
      <c r="F112" s="209"/>
      <c r="G112" s="210"/>
      <c r="H112" s="84">
        <v>7</v>
      </c>
      <c r="I112" s="68" t="s">
        <v>312</v>
      </c>
      <c r="J112" s="68">
        <f>1/33000</f>
        <v>3.0303030303030302E-5</v>
      </c>
      <c r="K112" s="102">
        <f>J112</f>
        <v>3.0303030303030302E-5</v>
      </c>
      <c r="L112" s="103"/>
      <c r="M112" s="68">
        <v>2</v>
      </c>
    </row>
    <row r="113" spans="1:13" x14ac:dyDescent="0.35">
      <c r="A113" s="211"/>
      <c r="B113" s="71"/>
      <c r="C113" s="102" t="s">
        <v>56</v>
      </c>
      <c r="D113" s="103"/>
      <c r="E113" s="19" t="s">
        <v>313</v>
      </c>
      <c r="F113" s="212"/>
      <c r="G113" s="213"/>
      <c r="H113" s="26">
        <v>5</v>
      </c>
      <c r="I113" s="71"/>
      <c r="J113" s="71"/>
      <c r="K113" s="105"/>
      <c r="L113" s="106"/>
      <c r="M113" s="71"/>
    </row>
    <row r="114" spans="1:13" ht="9.75" customHeight="1" thickBot="1" x14ac:dyDescent="0.4">
      <c r="A114" s="85"/>
      <c r="B114" s="69"/>
      <c r="C114" s="109"/>
      <c r="D114" s="110"/>
      <c r="E114" s="33"/>
      <c r="F114" s="214"/>
      <c r="G114" s="215"/>
      <c r="H114" s="38"/>
      <c r="I114" s="69"/>
      <c r="J114" s="69"/>
      <c r="K114" s="109"/>
      <c r="L114" s="110"/>
      <c r="M114" s="69"/>
    </row>
    <row r="115" spans="1:13" ht="15" thickBot="1" x14ac:dyDescent="0.4">
      <c r="A115" s="1" t="s">
        <v>130</v>
      </c>
      <c r="B115" s="19" t="s">
        <v>131</v>
      </c>
      <c r="C115" s="144" t="s">
        <v>158</v>
      </c>
      <c r="D115" s="145"/>
      <c r="E115" s="98" t="s">
        <v>133</v>
      </c>
      <c r="F115" s="99"/>
      <c r="G115" s="100"/>
      <c r="H115" s="84">
        <v>4</v>
      </c>
      <c r="I115" s="101" t="s">
        <v>134</v>
      </c>
      <c r="J115" s="64">
        <f>1.36/10^6</f>
        <v>1.3600000000000001E-6</v>
      </c>
      <c r="K115" s="102">
        <f>SUM(J115:J118)</f>
        <v>1.1589999999999999E-5</v>
      </c>
      <c r="L115" s="103"/>
      <c r="M115" s="68">
        <v>2</v>
      </c>
    </row>
    <row r="116" spans="1:13" ht="29.5" thickBot="1" x14ac:dyDescent="0.4">
      <c r="A116" s="29"/>
      <c r="B116" s="30"/>
      <c r="C116" s="144" t="s">
        <v>160</v>
      </c>
      <c r="D116" s="145"/>
      <c r="E116" s="104" t="s">
        <v>136</v>
      </c>
      <c r="F116" s="99"/>
      <c r="G116" s="100"/>
      <c r="H116" s="84">
        <v>4</v>
      </c>
      <c r="I116" s="101" t="s">
        <v>137</v>
      </c>
      <c r="J116" s="64">
        <f>2.36/10^6</f>
        <v>2.3599999999999999E-6</v>
      </c>
      <c r="K116" s="105"/>
      <c r="L116" s="106"/>
      <c r="M116" s="71"/>
    </row>
    <row r="117" spans="1:13" ht="15" thickBot="1" x14ac:dyDescent="0.4">
      <c r="A117" s="29"/>
      <c r="B117" s="30"/>
      <c r="C117" s="180" t="s">
        <v>138</v>
      </c>
      <c r="D117" s="181"/>
      <c r="E117" s="98" t="s">
        <v>284</v>
      </c>
      <c r="F117" s="62" t="s">
        <v>285</v>
      </c>
      <c r="G117" s="63"/>
      <c r="H117" s="84">
        <v>4</v>
      </c>
      <c r="I117" s="101" t="s">
        <v>139</v>
      </c>
      <c r="J117" s="64">
        <f>1.91/10^6</f>
        <v>1.9099999999999999E-6</v>
      </c>
      <c r="K117" s="105"/>
      <c r="L117" s="106"/>
      <c r="M117" s="71"/>
    </row>
    <row r="118" spans="1:13" ht="15" thickBot="1" x14ac:dyDescent="0.4">
      <c r="A118" s="29"/>
      <c r="B118" s="33"/>
      <c r="C118" s="180" t="s">
        <v>140</v>
      </c>
      <c r="D118" s="181"/>
      <c r="E118" s="98" t="s">
        <v>141</v>
      </c>
      <c r="F118" s="99"/>
      <c r="G118" s="100"/>
      <c r="H118" s="84">
        <v>4</v>
      </c>
      <c r="I118" s="64" t="s">
        <v>142</v>
      </c>
      <c r="J118" s="64">
        <f>5.96/10^6</f>
        <v>5.9599999999999997E-6</v>
      </c>
      <c r="K118" s="109"/>
      <c r="L118" s="110"/>
      <c r="M118" s="69"/>
    </row>
    <row r="119" spans="1:13" ht="15" thickBot="1" x14ac:dyDescent="0.4">
      <c r="A119" s="29"/>
      <c r="B119" s="19" t="s">
        <v>143</v>
      </c>
      <c r="C119" s="144" t="s">
        <v>158</v>
      </c>
      <c r="D119" s="145"/>
      <c r="E119" s="98" t="s">
        <v>133</v>
      </c>
      <c r="F119" s="99"/>
      <c r="G119" s="100"/>
      <c r="H119" s="84">
        <v>4</v>
      </c>
      <c r="I119" s="64" t="s">
        <v>144</v>
      </c>
      <c r="J119" s="64">
        <f>2.41/10^6</f>
        <v>2.4100000000000002E-6</v>
      </c>
      <c r="K119" s="102">
        <f>SUM(J119:J122)</f>
        <v>1.5679999999999999E-5</v>
      </c>
      <c r="L119" s="103"/>
      <c r="M119" s="68">
        <v>2</v>
      </c>
    </row>
    <row r="120" spans="1:13" ht="29.5" thickBot="1" x14ac:dyDescent="0.4">
      <c r="A120" s="29"/>
      <c r="B120" s="30"/>
      <c r="C120" s="144" t="s">
        <v>160</v>
      </c>
      <c r="D120" s="145"/>
      <c r="E120" s="104" t="s">
        <v>136</v>
      </c>
      <c r="F120" s="99"/>
      <c r="G120" s="100"/>
      <c r="H120" s="84">
        <v>4</v>
      </c>
      <c r="I120" s="64" t="s">
        <v>145</v>
      </c>
      <c r="J120" s="64">
        <f>5.18/10^6</f>
        <v>5.1799999999999995E-6</v>
      </c>
      <c r="K120" s="105"/>
      <c r="L120" s="106"/>
      <c r="M120" s="71"/>
    </row>
    <row r="121" spans="1:13" ht="15" thickBot="1" x14ac:dyDescent="0.4">
      <c r="A121" s="29"/>
      <c r="B121" s="30"/>
      <c r="C121" s="180" t="s">
        <v>138</v>
      </c>
      <c r="D121" s="181"/>
      <c r="E121" s="98" t="s">
        <v>284</v>
      </c>
      <c r="F121" s="62" t="s">
        <v>285</v>
      </c>
      <c r="G121" s="63"/>
      <c r="H121" s="84">
        <v>4</v>
      </c>
      <c r="I121" s="64" t="s">
        <v>146</v>
      </c>
      <c r="J121" s="64">
        <f>(1.54+0.28)/10^6</f>
        <v>1.8200000000000002E-6</v>
      </c>
      <c r="K121" s="105"/>
      <c r="L121" s="106"/>
      <c r="M121" s="71"/>
    </row>
    <row r="122" spans="1:13" ht="15" thickBot="1" x14ac:dyDescent="0.4">
      <c r="A122" s="29"/>
      <c r="B122" s="33"/>
      <c r="C122" s="180" t="s">
        <v>140</v>
      </c>
      <c r="D122" s="181"/>
      <c r="E122" s="98" t="s">
        <v>141</v>
      </c>
      <c r="F122" s="99"/>
      <c r="G122" s="100"/>
      <c r="H122" s="84">
        <v>4</v>
      </c>
      <c r="I122" s="64" t="s">
        <v>147</v>
      </c>
      <c r="J122" s="64">
        <f>6.27/10^6</f>
        <v>6.2699999999999993E-6</v>
      </c>
      <c r="K122" s="109"/>
      <c r="L122" s="110"/>
      <c r="M122" s="69"/>
    </row>
    <row r="123" spans="1:13" ht="15" thickBot="1" x14ac:dyDescent="0.4">
      <c r="A123" s="29"/>
      <c r="B123" s="19" t="s">
        <v>148</v>
      </c>
      <c r="C123" s="144" t="s">
        <v>158</v>
      </c>
      <c r="D123" s="145"/>
      <c r="E123" s="98" t="s">
        <v>149</v>
      </c>
      <c r="F123" s="82"/>
      <c r="G123" s="83"/>
      <c r="H123" s="84">
        <v>4</v>
      </c>
      <c r="I123" s="64" t="s">
        <v>150</v>
      </c>
      <c r="J123" s="64">
        <f>3.81/10^6</f>
        <v>3.8099999999999999E-6</v>
      </c>
      <c r="K123" s="102">
        <f>SUM(J123:J126)</f>
        <v>7.0849999999999991E-6</v>
      </c>
      <c r="L123" s="111"/>
      <c r="M123" s="68">
        <v>1</v>
      </c>
    </row>
    <row r="124" spans="1:13" ht="29.5" thickBot="1" x14ac:dyDescent="0.4">
      <c r="A124" s="29"/>
      <c r="B124" s="30"/>
      <c r="C124" s="144" t="s">
        <v>160</v>
      </c>
      <c r="D124" s="145"/>
      <c r="E124" s="104" t="s">
        <v>151</v>
      </c>
      <c r="F124" s="99"/>
      <c r="G124" s="100"/>
      <c r="H124" s="84">
        <v>4</v>
      </c>
      <c r="I124" s="64" t="s">
        <v>152</v>
      </c>
      <c r="J124" s="64">
        <f>3.03/10^6</f>
        <v>3.0299999999999998E-6</v>
      </c>
      <c r="K124" s="105"/>
      <c r="L124" s="112"/>
      <c r="M124" s="71"/>
    </row>
    <row r="125" spans="1:13" ht="15" thickBot="1" x14ac:dyDescent="0.4">
      <c r="A125" s="29"/>
      <c r="B125" s="30"/>
      <c r="C125" s="180" t="s">
        <v>138</v>
      </c>
      <c r="D125" s="181"/>
      <c r="E125" s="98" t="s">
        <v>259</v>
      </c>
      <c r="F125" s="99"/>
      <c r="G125" s="100"/>
      <c r="H125" s="84">
        <v>4</v>
      </c>
      <c r="I125" s="64" t="s">
        <v>154</v>
      </c>
      <c r="J125" s="64">
        <f>(0.14*0.25)/10^6</f>
        <v>3.5000000000000002E-8</v>
      </c>
      <c r="K125" s="105"/>
      <c r="L125" s="112"/>
      <c r="M125" s="71"/>
    </row>
    <row r="126" spans="1:13" ht="15" thickBot="1" x14ac:dyDescent="0.4">
      <c r="A126" s="29"/>
      <c r="B126" s="33"/>
      <c r="C126" s="180" t="s">
        <v>140</v>
      </c>
      <c r="D126" s="181"/>
      <c r="E126" s="104" t="s">
        <v>155</v>
      </c>
      <c r="F126" s="82"/>
      <c r="G126" s="83"/>
      <c r="H126" s="84">
        <v>4</v>
      </c>
      <c r="I126" s="64" t="s">
        <v>156</v>
      </c>
      <c r="J126" s="64">
        <f>0.21/10^6</f>
        <v>2.1E-7</v>
      </c>
      <c r="K126" s="109"/>
      <c r="L126" s="113"/>
      <c r="M126" s="69"/>
    </row>
    <row r="127" spans="1:13" ht="15.75" customHeight="1" thickBot="1" x14ac:dyDescent="0.4">
      <c r="A127" s="29"/>
      <c r="B127" s="19" t="s">
        <v>157</v>
      </c>
      <c r="C127" s="144" t="s">
        <v>158</v>
      </c>
      <c r="D127" s="145"/>
      <c r="E127" s="98" t="s">
        <v>149</v>
      </c>
      <c r="F127" s="82"/>
      <c r="G127" s="83"/>
      <c r="H127" s="84">
        <v>4</v>
      </c>
      <c r="I127" s="64" t="s">
        <v>159</v>
      </c>
      <c r="J127" s="64">
        <f>4.29/10^6</f>
        <v>4.2900000000000004E-6</v>
      </c>
      <c r="K127" s="102">
        <f>SUM(J127:J130)</f>
        <v>1.394E-5</v>
      </c>
      <c r="L127" s="103"/>
      <c r="M127" s="68">
        <v>2</v>
      </c>
    </row>
    <row r="128" spans="1:13" ht="58.5" customHeight="1" thickBot="1" x14ac:dyDescent="0.4">
      <c r="A128" s="29"/>
      <c r="B128" s="30"/>
      <c r="C128" s="144" t="s">
        <v>160</v>
      </c>
      <c r="D128" s="145"/>
      <c r="E128" s="104" t="s">
        <v>151</v>
      </c>
      <c r="F128" s="99"/>
      <c r="G128" s="100"/>
      <c r="H128" s="84">
        <v>4</v>
      </c>
      <c r="I128" s="64" t="s">
        <v>161</v>
      </c>
      <c r="J128" s="64">
        <f>8.52/10^6</f>
        <v>8.5199999999999997E-6</v>
      </c>
      <c r="K128" s="105"/>
      <c r="L128" s="106"/>
      <c r="M128" s="71"/>
    </row>
    <row r="129" spans="1:13" ht="15" thickBot="1" x14ac:dyDescent="0.4">
      <c r="A129" s="29"/>
      <c r="B129" s="30"/>
      <c r="C129" s="180" t="s">
        <v>138</v>
      </c>
      <c r="D129" s="181"/>
      <c r="E129" s="98" t="s">
        <v>259</v>
      </c>
      <c r="F129" s="99"/>
      <c r="G129" s="100"/>
      <c r="H129" s="84">
        <v>4</v>
      </c>
      <c r="I129" s="64" t="s">
        <v>163</v>
      </c>
      <c r="J129" s="64">
        <f>0.39/10^6</f>
        <v>3.9000000000000002E-7</v>
      </c>
      <c r="K129" s="105"/>
      <c r="L129" s="106"/>
      <c r="M129" s="71"/>
    </row>
    <row r="130" spans="1:13" ht="15" thickBot="1" x14ac:dyDescent="0.4">
      <c r="A130" s="29"/>
      <c r="B130" s="33"/>
      <c r="C130" s="180" t="s">
        <v>140</v>
      </c>
      <c r="D130" s="181"/>
      <c r="E130" s="104" t="s">
        <v>155</v>
      </c>
      <c r="F130" s="82"/>
      <c r="G130" s="83"/>
      <c r="H130" s="84">
        <v>4</v>
      </c>
      <c r="I130" s="64" t="s">
        <v>164</v>
      </c>
      <c r="J130" s="64">
        <f>0.74/10^6</f>
        <v>7.4000000000000001E-7</v>
      </c>
      <c r="K130" s="109"/>
      <c r="L130" s="110"/>
      <c r="M130" s="69"/>
    </row>
    <row r="131" spans="1:13" ht="15" thickBot="1" x14ac:dyDescent="0.4">
      <c r="A131" s="29"/>
      <c r="B131" s="19" t="s">
        <v>165</v>
      </c>
      <c r="C131" s="144" t="s">
        <v>158</v>
      </c>
      <c r="D131" s="145"/>
      <c r="E131" s="101" t="s">
        <v>166</v>
      </c>
      <c r="F131" s="65"/>
      <c r="G131" s="66"/>
      <c r="H131" s="81">
        <v>8</v>
      </c>
      <c r="I131" s="114" t="s">
        <v>167</v>
      </c>
      <c r="J131" s="115">
        <f>0.82/10^6</f>
        <v>8.1999999999999998E-7</v>
      </c>
      <c r="K131" s="102">
        <f>SUM(J131:J133)</f>
        <v>1.9699999999999998E-6</v>
      </c>
      <c r="L131" s="103"/>
      <c r="M131" s="68">
        <v>3</v>
      </c>
    </row>
    <row r="132" spans="1:13" x14ac:dyDescent="0.35">
      <c r="A132" s="29"/>
      <c r="B132" s="30"/>
      <c r="C132" s="134" t="s">
        <v>16</v>
      </c>
      <c r="D132" s="135"/>
      <c r="E132" s="67" t="s">
        <v>168</v>
      </c>
      <c r="F132" s="42"/>
      <c r="G132" s="43"/>
      <c r="H132" s="24">
        <v>10</v>
      </c>
      <c r="I132" s="19" t="s">
        <v>169</v>
      </c>
      <c r="J132" s="68">
        <f>1.15/10^6</f>
        <v>1.15E-6</v>
      </c>
      <c r="K132" s="105"/>
      <c r="L132" s="106"/>
      <c r="M132" s="71"/>
    </row>
    <row r="133" spans="1:13" ht="15" thickBot="1" x14ac:dyDescent="0.4">
      <c r="A133" s="10"/>
      <c r="B133" s="33"/>
      <c r="C133" s="136"/>
      <c r="D133" s="137"/>
      <c r="E133" s="59" t="s">
        <v>170</v>
      </c>
      <c r="F133" s="55"/>
      <c r="G133" s="56"/>
      <c r="H133" s="36"/>
      <c r="I133" s="33"/>
      <c r="J133" s="69"/>
      <c r="K133" s="109"/>
      <c r="L133" s="110"/>
      <c r="M133" s="69"/>
    </row>
    <row r="136" spans="1:13" ht="15" customHeight="1" x14ac:dyDescent="0.35"/>
  </sheetData>
  <mergeCells count="303">
    <mergeCell ref="M131:M133"/>
    <mergeCell ref="C132:D133"/>
    <mergeCell ref="F132:G133"/>
    <mergeCell ref="H132:H133"/>
    <mergeCell ref="I132:I133"/>
    <mergeCell ref="J132:J133"/>
    <mergeCell ref="C130:D130"/>
    <mergeCell ref="F130:G130"/>
    <mergeCell ref="B131:B133"/>
    <mergeCell ref="C131:D131"/>
    <mergeCell ref="F131:G131"/>
    <mergeCell ref="K131:L133"/>
    <mergeCell ref="F126:G126"/>
    <mergeCell ref="B127:B130"/>
    <mergeCell ref="C127:D127"/>
    <mergeCell ref="F127:G127"/>
    <mergeCell ref="K127:L130"/>
    <mergeCell ref="M127:M130"/>
    <mergeCell ref="C128:D128"/>
    <mergeCell ref="F128:G128"/>
    <mergeCell ref="C129:D129"/>
    <mergeCell ref="F129:G129"/>
    <mergeCell ref="B123:B126"/>
    <mergeCell ref="C123:D123"/>
    <mergeCell ref="F123:G123"/>
    <mergeCell ref="K123:L126"/>
    <mergeCell ref="M123:M126"/>
    <mergeCell ref="C124:D124"/>
    <mergeCell ref="F124:G124"/>
    <mergeCell ref="C125:D125"/>
    <mergeCell ref="F125:G125"/>
    <mergeCell ref="C126:D126"/>
    <mergeCell ref="M119:M122"/>
    <mergeCell ref="C120:D120"/>
    <mergeCell ref="F120:G120"/>
    <mergeCell ref="C121:D121"/>
    <mergeCell ref="F121:G121"/>
    <mergeCell ref="C122:D122"/>
    <mergeCell ref="F122:G122"/>
    <mergeCell ref="C118:D118"/>
    <mergeCell ref="F118:G118"/>
    <mergeCell ref="B119:B122"/>
    <mergeCell ref="C119:D119"/>
    <mergeCell ref="F119:G119"/>
    <mergeCell ref="K119:L122"/>
    <mergeCell ref="A115:A133"/>
    <mergeCell ref="B115:B118"/>
    <mergeCell ref="C115:D115"/>
    <mergeCell ref="F115:G115"/>
    <mergeCell ref="K115:L118"/>
    <mergeCell ref="M115:M118"/>
    <mergeCell ref="C116:D116"/>
    <mergeCell ref="F116:G116"/>
    <mergeCell ref="C117:D117"/>
    <mergeCell ref="F117:G117"/>
    <mergeCell ref="K112:L114"/>
    <mergeCell ref="M112:M114"/>
    <mergeCell ref="C113:D114"/>
    <mergeCell ref="E113:E114"/>
    <mergeCell ref="F113:G114"/>
    <mergeCell ref="H113:H114"/>
    <mergeCell ref="A112:A114"/>
    <mergeCell ref="B112:B114"/>
    <mergeCell ref="C112:D112"/>
    <mergeCell ref="F112:G112"/>
    <mergeCell ref="I112:I114"/>
    <mergeCell ref="J112:J114"/>
    <mergeCell ref="J106:J107"/>
    <mergeCell ref="C108:D108"/>
    <mergeCell ref="F108:G108"/>
    <mergeCell ref="B109:B111"/>
    <mergeCell ref="C109:D109"/>
    <mergeCell ref="F109:G109"/>
    <mergeCell ref="C110:D110"/>
    <mergeCell ref="C111:D111"/>
    <mergeCell ref="F111:G111"/>
    <mergeCell ref="J92:J103"/>
    <mergeCell ref="F104:G104"/>
    <mergeCell ref="B105:B108"/>
    <mergeCell ref="C105:D105"/>
    <mergeCell ref="F105:G105"/>
    <mergeCell ref="C106:D107"/>
    <mergeCell ref="E106:E107"/>
    <mergeCell ref="F106:G107"/>
    <mergeCell ref="H106:H107"/>
    <mergeCell ref="I106:I107"/>
    <mergeCell ref="I88:I90"/>
    <mergeCell ref="J88:J90"/>
    <mergeCell ref="C91:D91"/>
    <mergeCell ref="F91:G91"/>
    <mergeCell ref="B92:B104"/>
    <mergeCell ref="C92:D104"/>
    <mergeCell ref="E92:E103"/>
    <mergeCell ref="F92:G103"/>
    <mergeCell ref="H92:H103"/>
    <mergeCell ref="I92:I103"/>
    <mergeCell ref="F87:G87"/>
    <mergeCell ref="B88:B90"/>
    <mergeCell ref="C88:D90"/>
    <mergeCell ref="E88:E90"/>
    <mergeCell ref="F88:G90"/>
    <mergeCell ref="H88:H90"/>
    <mergeCell ref="J75:J77"/>
    <mergeCell ref="K75:L111"/>
    <mergeCell ref="M75:M111"/>
    <mergeCell ref="E76:E77"/>
    <mergeCell ref="D78:D86"/>
    <mergeCell ref="E78:E86"/>
    <mergeCell ref="F78:G86"/>
    <mergeCell ref="H78:H86"/>
    <mergeCell ref="I78:I86"/>
    <mergeCell ref="J78:J86"/>
    <mergeCell ref="A75:A111"/>
    <mergeCell ref="B75:B86"/>
    <mergeCell ref="C75:D77"/>
    <mergeCell ref="F75:G77"/>
    <mergeCell ref="H75:H77"/>
    <mergeCell ref="I75:I77"/>
    <mergeCell ref="C81:C82"/>
    <mergeCell ref="C83:C84"/>
    <mergeCell ref="C85:C86"/>
    <mergeCell ref="C87:D87"/>
    <mergeCell ref="J71:J74"/>
    <mergeCell ref="K71:L74"/>
    <mergeCell ref="M71:M74"/>
    <mergeCell ref="C72:D73"/>
    <mergeCell ref="E72:E73"/>
    <mergeCell ref="F72:G73"/>
    <mergeCell ref="H72:H73"/>
    <mergeCell ref="C74:D74"/>
    <mergeCell ref="F74:G74"/>
    <mergeCell ref="C70:D70"/>
    <mergeCell ref="F70:G70"/>
    <mergeCell ref="A71:A74"/>
    <mergeCell ref="B71:B74"/>
    <mergeCell ref="C71:D71"/>
    <mergeCell ref="F71:G71"/>
    <mergeCell ref="B67:B69"/>
    <mergeCell ref="C67:D68"/>
    <mergeCell ref="F67:G68"/>
    <mergeCell ref="H67:H68"/>
    <mergeCell ref="I67:I68"/>
    <mergeCell ref="J67:J68"/>
    <mergeCell ref="C69:D69"/>
    <mergeCell ref="F69:G69"/>
    <mergeCell ref="A64:A70"/>
    <mergeCell ref="B64:B65"/>
    <mergeCell ref="C64:D64"/>
    <mergeCell ref="F64:G64"/>
    <mergeCell ref="K64:L70"/>
    <mergeCell ref="M64:M70"/>
    <mergeCell ref="C65:D65"/>
    <mergeCell ref="F65:G65"/>
    <mergeCell ref="C66:D66"/>
    <mergeCell ref="F66:G66"/>
    <mergeCell ref="K54:L63"/>
    <mergeCell ref="M54:M63"/>
    <mergeCell ref="C56:D59"/>
    <mergeCell ref="F56:G59"/>
    <mergeCell ref="H56:H59"/>
    <mergeCell ref="J56:J59"/>
    <mergeCell ref="E57:E59"/>
    <mergeCell ref="C60:D63"/>
    <mergeCell ref="F60:G63"/>
    <mergeCell ref="H60:H63"/>
    <mergeCell ref="B54:B63"/>
    <mergeCell ref="C54:D55"/>
    <mergeCell ref="E54:E55"/>
    <mergeCell ref="F54:G55"/>
    <mergeCell ref="H54:H55"/>
    <mergeCell ref="J54:J55"/>
    <mergeCell ref="J60:J63"/>
    <mergeCell ref="E62:E63"/>
    <mergeCell ref="K48:L53"/>
    <mergeCell ref="M48:M53"/>
    <mergeCell ref="C50:D51"/>
    <mergeCell ref="E50:E51"/>
    <mergeCell ref="F50:G51"/>
    <mergeCell ref="H50:H51"/>
    <mergeCell ref="J50:J51"/>
    <mergeCell ref="C52:D53"/>
    <mergeCell ref="E52:E53"/>
    <mergeCell ref="F52:G53"/>
    <mergeCell ref="B48:B53"/>
    <mergeCell ref="C48:D49"/>
    <mergeCell ref="E48:E49"/>
    <mergeCell ref="F48:G49"/>
    <mergeCell ref="H48:H49"/>
    <mergeCell ref="J48:J49"/>
    <mergeCell ref="H52:H53"/>
    <mergeCell ref="J52:J53"/>
    <mergeCell ref="J44:J47"/>
    <mergeCell ref="K44:L47"/>
    <mergeCell ref="M44:M47"/>
    <mergeCell ref="C45:D46"/>
    <mergeCell ref="F45:G46"/>
    <mergeCell ref="H45:H46"/>
    <mergeCell ref="C47:D47"/>
    <mergeCell ref="F47:G47"/>
    <mergeCell ref="K38:L43"/>
    <mergeCell ref="M38:M43"/>
    <mergeCell ref="C39:D41"/>
    <mergeCell ref="F39:G41"/>
    <mergeCell ref="H39:H41"/>
    <mergeCell ref="C42:D43"/>
    <mergeCell ref="E42:E43"/>
    <mergeCell ref="F42:G43"/>
    <mergeCell ref="H42:H43"/>
    <mergeCell ref="I35:I37"/>
    <mergeCell ref="J35:J37"/>
    <mergeCell ref="A38:A63"/>
    <mergeCell ref="B38:B43"/>
    <mergeCell ref="C38:D38"/>
    <mergeCell ref="F38:G38"/>
    <mergeCell ref="J38:J43"/>
    <mergeCell ref="B44:B47"/>
    <mergeCell ref="C44:D44"/>
    <mergeCell ref="F44:G44"/>
    <mergeCell ref="I27:I28"/>
    <mergeCell ref="J27:J28"/>
    <mergeCell ref="K27:L37"/>
    <mergeCell ref="C29:D34"/>
    <mergeCell ref="E29:E34"/>
    <mergeCell ref="F29:G34"/>
    <mergeCell ref="H29:H34"/>
    <mergeCell ref="I29:I34"/>
    <mergeCell ref="J29:J34"/>
    <mergeCell ref="C35:D37"/>
    <mergeCell ref="A27:A37"/>
    <mergeCell ref="B27:B37"/>
    <mergeCell ref="C27:D28"/>
    <mergeCell ref="E27:E28"/>
    <mergeCell ref="F27:G28"/>
    <mergeCell ref="H27:H28"/>
    <mergeCell ref="E35:E37"/>
    <mergeCell ref="F35:F37"/>
    <mergeCell ref="G35:G37"/>
    <mergeCell ref="H35:H37"/>
    <mergeCell ref="F23:G23"/>
    <mergeCell ref="C24:D26"/>
    <mergeCell ref="E24:E26"/>
    <mergeCell ref="F24:G26"/>
    <mergeCell ref="H24:H26"/>
    <mergeCell ref="I24:I26"/>
    <mergeCell ref="M17:M26"/>
    <mergeCell ref="C18:D18"/>
    <mergeCell ref="F18:G18"/>
    <mergeCell ref="C19:D20"/>
    <mergeCell ref="E19:E20"/>
    <mergeCell ref="F19:G20"/>
    <mergeCell ref="H19:H20"/>
    <mergeCell ref="C21:D21"/>
    <mergeCell ref="F21:G21"/>
    <mergeCell ref="J21:J23"/>
    <mergeCell ref="A17:A26"/>
    <mergeCell ref="B17:B20"/>
    <mergeCell ref="C17:D17"/>
    <mergeCell ref="F17:G17"/>
    <mergeCell ref="J17:J20"/>
    <mergeCell ref="K17:L26"/>
    <mergeCell ref="B21:B26"/>
    <mergeCell ref="C22:D22"/>
    <mergeCell ref="F22:G22"/>
    <mergeCell ref="C23:D23"/>
    <mergeCell ref="H13:H14"/>
    <mergeCell ref="I13:I14"/>
    <mergeCell ref="J13:J14"/>
    <mergeCell ref="C15:D15"/>
    <mergeCell ref="F15:G15"/>
    <mergeCell ref="C16:D16"/>
    <mergeCell ref="F16:G16"/>
    <mergeCell ref="A11:A16"/>
    <mergeCell ref="C11:D11"/>
    <mergeCell ref="F11:G11"/>
    <mergeCell ref="K11:L16"/>
    <mergeCell ref="M11:M16"/>
    <mergeCell ref="C12:D12"/>
    <mergeCell ref="F12:G12"/>
    <mergeCell ref="B13:B15"/>
    <mergeCell ref="C13:D14"/>
    <mergeCell ref="F13:G14"/>
    <mergeCell ref="J3:J4"/>
    <mergeCell ref="K3:L10"/>
    <mergeCell ref="M3:M10"/>
    <mergeCell ref="C5:D10"/>
    <mergeCell ref="E5:E10"/>
    <mergeCell ref="F5:G10"/>
    <mergeCell ref="H5:H10"/>
    <mergeCell ref="J5:J10"/>
    <mergeCell ref="I6:I10"/>
    <mergeCell ref="A3:A10"/>
    <mergeCell ref="B3:B10"/>
    <mergeCell ref="C3:D4"/>
    <mergeCell ref="E3:E4"/>
    <mergeCell ref="F3:G4"/>
    <mergeCell ref="H3:H4"/>
    <mergeCell ref="A1:A2"/>
    <mergeCell ref="B1:B2"/>
    <mergeCell ref="C1:D2"/>
    <mergeCell ref="E1:E2"/>
    <mergeCell ref="F1:G1"/>
    <mergeCell ref="H1:H2"/>
    <mergeCell ref="F2:G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108" sqref="H108:J118"/>
    </sheetView>
  </sheetViews>
  <sheetFormatPr baseColWidth="10" defaultColWidth="10.81640625" defaultRowHeight="14.5" x14ac:dyDescent="0.35"/>
  <cols>
    <col min="1" max="1" width="17.1796875" style="183" bestFit="1" customWidth="1"/>
    <col min="2" max="2" width="17.81640625" style="184" bestFit="1" customWidth="1"/>
    <col min="3" max="3" width="15.453125" style="127" customWidth="1"/>
    <col min="4" max="4" width="25.1796875" style="127" bestFit="1" customWidth="1"/>
    <col min="5" max="5" width="38.81640625" style="184" bestFit="1" customWidth="1"/>
    <col min="6" max="6" width="10.81640625" style="184"/>
    <col min="7" max="7" width="14.81640625" style="184" customWidth="1"/>
    <col min="8" max="8" width="18.7265625" style="184" bestFit="1" customWidth="1"/>
    <col min="9" max="9" width="18.453125" style="184" customWidth="1"/>
    <col min="10" max="10" width="18.7265625" style="127" bestFit="1" customWidth="1"/>
    <col min="11" max="11" width="12" style="127" bestFit="1" customWidth="1"/>
    <col min="12" max="12" width="10.81640625" style="127" customWidth="1"/>
    <col min="13" max="16384" width="10.81640625" style="127"/>
  </cols>
  <sheetData>
    <row r="1" spans="1:13" ht="14.5" customHeight="1" x14ac:dyDescent="0.35">
      <c r="A1" s="1" t="s">
        <v>0</v>
      </c>
      <c r="B1" s="1" t="s">
        <v>1</v>
      </c>
      <c r="C1" s="120" t="s">
        <v>2</v>
      </c>
      <c r="D1" s="121"/>
      <c r="E1" s="1" t="s">
        <v>3</v>
      </c>
      <c r="F1" s="122" t="s">
        <v>4</v>
      </c>
      <c r="G1" s="123"/>
      <c r="H1" s="1" t="s">
        <v>5</v>
      </c>
      <c r="I1" s="124" t="s">
        <v>6</v>
      </c>
      <c r="J1" s="125" t="s">
        <v>7</v>
      </c>
      <c r="K1" s="125" t="s">
        <v>8</v>
      </c>
      <c r="L1" s="126"/>
      <c r="M1" s="125" t="s">
        <v>9</v>
      </c>
    </row>
    <row r="2" spans="1:13" ht="15" thickBot="1" x14ac:dyDescent="0.4">
      <c r="A2" s="10"/>
      <c r="B2" s="10"/>
      <c r="C2" s="128"/>
      <c r="D2" s="129"/>
      <c r="E2" s="10"/>
      <c r="F2" s="130" t="s">
        <v>10</v>
      </c>
      <c r="G2" s="131"/>
      <c r="H2" s="10"/>
      <c r="I2" s="75" t="s">
        <v>11</v>
      </c>
      <c r="J2" s="132" t="s">
        <v>12</v>
      </c>
      <c r="K2" s="132" t="s">
        <v>13</v>
      </c>
      <c r="L2" s="133"/>
      <c r="M2" s="132"/>
    </row>
    <row r="3" spans="1:13" x14ac:dyDescent="0.35">
      <c r="A3" s="1" t="s">
        <v>14</v>
      </c>
      <c r="B3" s="19" t="s">
        <v>174</v>
      </c>
      <c r="C3" s="134" t="s">
        <v>16</v>
      </c>
      <c r="D3" s="135"/>
      <c r="E3" s="19" t="s">
        <v>175</v>
      </c>
      <c r="F3" s="22" t="s">
        <v>176</v>
      </c>
      <c r="G3" s="23"/>
      <c r="H3" s="19">
        <v>8</v>
      </c>
      <c r="I3" s="67" t="s">
        <v>19</v>
      </c>
      <c r="J3" s="68">
        <f>2.87/10^6</f>
        <v>2.8700000000000001E-6</v>
      </c>
      <c r="K3" s="102">
        <f>SUM(J3:J5)</f>
        <v>3.8549999999999995E-6</v>
      </c>
      <c r="L3" s="103"/>
      <c r="M3" s="68">
        <v>2</v>
      </c>
    </row>
    <row r="4" spans="1:13" ht="15" thickBot="1" x14ac:dyDescent="0.4">
      <c r="A4" s="29"/>
      <c r="B4" s="30"/>
      <c r="C4" s="136"/>
      <c r="D4" s="137"/>
      <c r="E4" s="33"/>
      <c r="F4" s="34"/>
      <c r="G4" s="35"/>
      <c r="H4" s="33"/>
      <c r="I4" s="59" t="s">
        <v>177</v>
      </c>
      <c r="J4" s="69"/>
      <c r="K4" s="105"/>
      <c r="L4" s="106"/>
      <c r="M4" s="71"/>
    </row>
    <row r="5" spans="1:13" x14ac:dyDescent="0.35">
      <c r="A5" s="29"/>
      <c r="B5" s="30"/>
      <c r="C5" s="134" t="s">
        <v>21</v>
      </c>
      <c r="D5" s="135"/>
      <c r="E5" s="19" t="s">
        <v>175</v>
      </c>
      <c r="F5" s="42" t="s">
        <v>176</v>
      </c>
      <c r="G5" s="43"/>
      <c r="H5" s="19">
        <v>9</v>
      </c>
      <c r="I5" s="67" t="s">
        <v>22</v>
      </c>
      <c r="J5" s="68">
        <f>0.985/10^6</f>
        <v>9.8499999999999989E-7</v>
      </c>
      <c r="K5" s="105"/>
      <c r="L5" s="106"/>
      <c r="M5" s="71"/>
    </row>
    <row r="6" spans="1:13" ht="15" thickBot="1" x14ac:dyDescent="0.4">
      <c r="A6" s="29"/>
      <c r="B6" s="33"/>
      <c r="C6" s="136"/>
      <c r="D6" s="137"/>
      <c r="E6" s="33"/>
      <c r="F6" s="55"/>
      <c r="G6" s="56"/>
      <c r="H6" s="33"/>
      <c r="I6" s="59" t="s">
        <v>178</v>
      </c>
      <c r="J6" s="69"/>
      <c r="K6" s="109"/>
      <c r="L6" s="110"/>
      <c r="M6" s="69"/>
    </row>
    <row r="7" spans="1:13" ht="15" customHeight="1" x14ac:dyDescent="0.35">
      <c r="A7" s="29"/>
      <c r="B7" s="19" t="s">
        <v>179</v>
      </c>
      <c r="C7" s="134" t="s">
        <v>16</v>
      </c>
      <c r="D7" s="135"/>
      <c r="E7" s="19" t="s">
        <v>180</v>
      </c>
      <c r="F7" s="22" t="s">
        <v>181</v>
      </c>
      <c r="G7" s="23"/>
      <c r="H7" s="19">
        <v>10</v>
      </c>
      <c r="I7" s="19" t="s">
        <v>182</v>
      </c>
      <c r="J7" s="68">
        <f>0.0636/10^6</f>
        <v>6.36E-8</v>
      </c>
      <c r="K7" s="138">
        <f>SUM(J7:J10)</f>
        <v>6.36E-8</v>
      </c>
      <c r="L7" s="139"/>
      <c r="M7" s="68">
        <v>1</v>
      </c>
    </row>
    <row r="8" spans="1:13" ht="15" thickBot="1" x14ac:dyDescent="0.4">
      <c r="A8" s="29"/>
      <c r="B8" s="30"/>
      <c r="C8" s="136"/>
      <c r="D8" s="137"/>
      <c r="E8" s="33"/>
      <c r="F8" s="34"/>
      <c r="G8" s="35"/>
      <c r="H8" s="33"/>
      <c r="I8" s="33"/>
      <c r="J8" s="69"/>
      <c r="K8" s="140"/>
      <c r="L8" s="141"/>
      <c r="M8" s="71"/>
    </row>
    <row r="9" spans="1:13" ht="15" customHeight="1" x14ac:dyDescent="0.35">
      <c r="A9" s="29"/>
      <c r="B9" s="30"/>
      <c r="C9" s="134" t="s">
        <v>21</v>
      </c>
      <c r="D9" s="135"/>
      <c r="E9" s="19" t="s">
        <v>180</v>
      </c>
      <c r="F9" s="42" t="s">
        <v>181</v>
      </c>
      <c r="G9" s="43"/>
      <c r="H9" s="19">
        <v>10</v>
      </c>
      <c r="I9" s="67" t="s">
        <v>25</v>
      </c>
      <c r="J9" s="68" t="s">
        <v>25</v>
      </c>
      <c r="K9" s="140"/>
      <c r="L9" s="141"/>
      <c r="M9" s="71"/>
    </row>
    <row r="10" spans="1:13" ht="15" thickBot="1" x14ac:dyDescent="0.4">
      <c r="A10" s="10"/>
      <c r="B10" s="33"/>
      <c r="C10" s="136"/>
      <c r="D10" s="137"/>
      <c r="E10" s="33"/>
      <c r="F10" s="55"/>
      <c r="G10" s="56"/>
      <c r="H10" s="33"/>
      <c r="I10" s="59" t="s">
        <v>183</v>
      </c>
      <c r="J10" s="69"/>
      <c r="K10" s="142"/>
      <c r="L10" s="143"/>
      <c r="M10" s="69"/>
    </row>
    <row r="11" spans="1:13" ht="15" thickBot="1" x14ac:dyDescent="0.4">
      <c r="A11" s="1" t="s">
        <v>184</v>
      </c>
      <c r="B11" s="59" t="s">
        <v>28</v>
      </c>
      <c r="C11" s="144" t="s">
        <v>16</v>
      </c>
      <c r="D11" s="145"/>
      <c r="E11" s="59" t="s">
        <v>175</v>
      </c>
      <c r="F11" s="62" t="s">
        <v>176</v>
      </c>
      <c r="G11" s="63"/>
      <c r="H11" s="59">
        <v>4</v>
      </c>
      <c r="I11" s="59" t="s">
        <v>29</v>
      </c>
      <c r="J11" s="64">
        <f>7.07/10^6</f>
        <v>7.0700000000000001E-6</v>
      </c>
      <c r="K11" s="102">
        <f>SUM(J11:J16)</f>
        <v>3.3089999999999997E-5</v>
      </c>
      <c r="L11" s="103"/>
      <c r="M11" s="68">
        <v>2</v>
      </c>
    </row>
    <row r="12" spans="1:13" ht="15" thickBot="1" x14ac:dyDescent="0.4">
      <c r="A12" s="29"/>
      <c r="B12" s="59" t="s">
        <v>30</v>
      </c>
      <c r="C12" s="144" t="s">
        <v>21</v>
      </c>
      <c r="D12" s="145"/>
      <c r="E12" s="59" t="s">
        <v>31</v>
      </c>
      <c r="F12" s="65"/>
      <c r="G12" s="66"/>
      <c r="H12" s="59">
        <v>7</v>
      </c>
      <c r="I12" s="59" t="s">
        <v>32</v>
      </c>
      <c r="J12" s="64">
        <f>1.24/10^6</f>
        <v>1.24E-6</v>
      </c>
      <c r="K12" s="105"/>
      <c r="L12" s="106"/>
      <c r="M12" s="71"/>
    </row>
    <row r="13" spans="1:13" x14ac:dyDescent="0.35">
      <c r="A13" s="29"/>
      <c r="B13" s="19" t="s">
        <v>33</v>
      </c>
      <c r="C13" s="134" t="s">
        <v>34</v>
      </c>
      <c r="D13" s="135"/>
      <c r="E13" s="67" t="s">
        <v>35</v>
      </c>
      <c r="F13" s="22" t="s">
        <v>36</v>
      </c>
      <c r="G13" s="23"/>
      <c r="H13" s="19">
        <v>6</v>
      </c>
      <c r="I13" s="19" t="s">
        <v>37</v>
      </c>
      <c r="J13" s="68">
        <f>0.6/10^6</f>
        <v>5.9999999999999997E-7</v>
      </c>
      <c r="K13" s="105"/>
      <c r="L13" s="106"/>
      <c r="M13" s="71"/>
    </row>
    <row r="14" spans="1:13" ht="15" customHeight="1" thickBot="1" x14ac:dyDescent="0.4">
      <c r="A14" s="29"/>
      <c r="B14" s="30"/>
      <c r="C14" s="136"/>
      <c r="D14" s="137"/>
      <c r="E14" s="59" t="s">
        <v>38</v>
      </c>
      <c r="F14" s="34"/>
      <c r="G14" s="35"/>
      <c r="H14" s="33"/>
      <c r="I14" s="33"/>
      <c r="J14" s="69"/>
      <c r="K14" s="105"/>
      <c r="L14" s="106"/>
      <c r="M14" s="71"/>
    </row>
    <row r="15" spans="1:13" ht="15" thickBot="1" x14ac:dyDescent="0.4">
      <c r="A15" s="29"/>
      <c r="B15" s="33"/>
      <c r="C15" s="144" t="s">
        <v>39</v>
      </c>
      <c r="D15" s="145"/>
      <c r="E15" s="59" t="s">
        <v>31</v>
      </c>
      <c r="F15" s="65"/>
      <c r="G15" s="66"/>
      <c r="H15" s="59">
        <v>6</v>
      </c>
      <c r="I15" s="59" t="s">
        <v>40</v>
      </c>
      <c r="J15" s="64">
        <f>19.07/10^6</f>
        <v>1.9069999999999999E-5</v>
      </c>
      <c r="K15" s="105"/>
      <c r="L15" s="106"/>
      <c r="M15" s="71"/>
    </row>
    <row r="16" spans="1:13" ht="15" thickBot="1" x14ac:dyDescent="0.4">
      <c r="A16" s="10"/>
      <c r="B16" s="59" t="s">
        <v>41</v>
      </c>
      <c r="C16" s="144" t="s">
        <v>39</v>
      </c>
      <c r="D16" s="145"/>
      <c r="E16" s="59" t="s">
        <v>31</v>
      </c>
      <c r="F16" s="65"/>
      <c r="G16" s="66"/>
      <c r="H16" s="59">
        <v>6</v>
      </c>
      <c r="I16" s="59" t="s">
        <v>42</v>
      </c>
      <c r="J16" s="64">
        <f>5.11/10^6</f>
        <v>5.1100000000000002E-6</v>
      </c>
      <c r="K16" s="109"/>
      <c r="L16" s="110"/>
      <c r="M16" s="69"/>
    </row>
    <row r="17" spans="1:13" ht="15" thickBot="1" x14ac:dyDescent="0.4">
      <c r="A17" s="1" t="s">
        <v>185</v>
      </c>
      <c r="B17" s="19" t="s">
        <v>44</v>
      </c>
      <c r="C17" s="144" t="s">
        <v>45</v>
      </c>
      <c r="D17" s="145"/>
      <c r="E17" s="59" t="s">
        <v>175</v>
      </c>
      <c r="F17" s="62" t="s">
        <v>176</v>
      </c>
      <c r="G17" s="63"/>
      <c r="H17" s="59">
        <v>4</v>
      </c>
      <c r="I17" s="67" t="s">
        <v>46</v>
      </c>
      <c r="J17" s="68">
        <f>0.57/10^6</f>
        <v>5.6999999999999994E-7</v>
      </c>
      <c r="K17" s="102">
        <f>SUM(J17:J26)</f>
        <v>1.4249999999999999E-6</v>
      </c>
      <c r="L17" s="103"/>
      <c r="M17" s="68">
        <v>2</v>
      </c>
    </row>
    <row r="18" spans="1:13" ht="15" thickBot="1" x14ac:dyDescent="0.4">
      <c r="A18" s="29"/>
      <c r="B18" s="30"/>
      <c r="C18" s="144" t="s">
        <v>16</v>
      </c>
      <c r="D18" s="145"/>
      <c r="E18" s="59" t="s">
        <v>175</v>
      </c>
      <c r="F18" s="62" t="s">
        <v>176</v>
      </c>
      <c r="G18" s="63"/>
      <c r="H18" s="59">
        <v>4</v>
      </c>
      <c r="I18" s="67" t="s">
        <v>186</v>
      </c>
      <c r="J18" s="71"/>
      <c r="K18" s="105"/>
      <c r="L18" s="106"/>
      <c r="M18" s="71"/>
    </row>
    <row r="19" spans="1:13" x14ac:dyDescent="0.35">
      <c r="A19" s="29"/>
      <c r="B19" s="30"/>
      <c r="C19" s="134" t="s">
        <v>21</v>
      </c>
      <c r="D19" s="135"/>
      <c r="E19" s="19" t="s">
        <v>175</v>
      </c>
      <c r="F19" s="42" t="s">
        <v>176</v>
      </c>
      <c r="G19" s="43"/>
      <c r="H19" s="19">
        <v>6</v>
      </c>
      <c r="I19" s="67"/>
      <c r="J19" s="71"/>
      <c r="K19" s="105"/>
      <c r="L19" s="106"/>
      <c r="M19" s="71"/>
    </row>
    <row r="20" spans="1:13" ht="28.5" customHeight="1" thickBot="1" x14ac:dyDescent="0.4">
      <c r="A20" s="29"/>
      <c r="B20" s="33"/>
      <c r="C20" s="136"/>
      <c r="D20" s="137"/>
      <c r="E20" s="33"/>
      <c r="F20" s="55"/>
      <c r="G20" s="56"/>
      <c r="H20" s="33"/>
      <c r="I20" s="59"/>
      <c r="J20" s="69"/>
      <c r="K20" s="105"/>
      <c r="L20" s="106"/>
      <c r="M20" s="71"/>
    </row>
    <row r="21" spans="1:13" ht="15" thickBot="1" x14ac:dyDescent="0.4">
      <c r="A21" s="29"/>
      <c r="B21" s="19" t="s">
        <v>48</v>
      </c>
      <c r="C21" s="146" t="s">
        <v>16</v>
      </c>
      <c r="D21" s="147"/>
      <c r="E21" s="59" t="s">
        <v>175</v>
      </c>
      <c r="F21" s="62" t="s">
        <v>176</v>
      </c>
      <c r="G21" s="63"/>
      <c r="H21" s="59">
        <v>4</v>
      </c>
      <c r="I21" s="67" t="s">
        <v>49</v>
      </c>
      <c r="J21" s="68">
        <f>0.855/10^6</f>
        <v>8.5499999999999997E-7</v>
      </c>
      <c r="K21" s="105"/>
      <c r="L21" s="106"/>
      <c r="M21" s="71"/>
    </row>
    <row r="22" spans="1:13" ht="15" thickBot="1" x14ac:dyDescent="0.4">
      <c r="A22" s="29"/>
      <c r="B22" s="30"/>
      <c r="C22" s="146" t="s">
        <v>21</v>
      </c>
      <c r="D22" s="147"/>
      <c r="E22" s="59" t="s">
        <v>175</v>
      </c>
      <c r="F22" s="65" t="s">
        <v>176</v>
      </c>
      <c r="G22" s="66"/>
      <c r="H22" s="59">
        <v>6</v>
      </c>
      <c r="I22" s="67" t="s">
        <v>187</v>
      </c>
      <c r="J22" s="71"/>
      <c r="K22" s="105"/>
      <c r="L22" s="106"/>
      <c r="M22" s="71"/>
    </row>
    <row r="23" spans="1:13" ht="15" thickBot="1" x14ac:dyDescent="0.4">
      <c r="A23" s="29"/>
      <c r="B23" s="30"/>
      <c r="C23" s="146" t="s">
        <v>51</v>
      </c>
      <c r="D23" s="147"/>
      <c r="E23" s="59" t="s">
        <v>31</v>
      </c>
      <c r="F23" s="62"/>
      <c r="G23" s="63"/>
      <c r="H23" s="59">
        <v>5</v>
      </c>
      <c r="I23" s="59"/>
      <c r="J23" s="69"/>
      <c r="K23" s="105"/>
      <c r="L23" s="106"/>
      <c r="M23" s="71"/>
    </row>
    <row r="24" spans="1:13" x14ac:dyDescent="0.35">
      <c r="A24" s="29"/>
      <c r="B24" s="30"/>
      <c r="C24" s="148" t="s">
        <v>52</v>
      </c>
      <c r="D24" s="149"/>
      <c r="E24" s="19" t="s">
        <v>31</v>
      </c>
      <c r="F24" s="42" t="s">
        <v>176</v>
      </c>
      <c r="G24" s="43"/>
      <c r="H24" s="19">
        <v>6</v>
      </c>
      <c r="I24" s="19" t="s">
        <v>24</v>
      </c>
      <c r="J24" s="150"/>
      <c r="K24" s="105"/>
      <c r="L24" s="106"/>
      <c r="M24" s="71"/>
    </row>
    <row r="25" spans="1:13" ht="15" customHeight="1" x14ac:dyDescent="0.35">
      <c r="A25" s="29"/>
      <c r="B25" s="30"/>
      <c r="C25" s="151"/>
      <c r="D25" s="152"/>
      <c r="E25" s="30"/>
      <c r="F25" s="46"/>
      <c r="G25" s="47"/>
      <c r="H25" s="30"/>
      <c r="I25" s="30"/>
      <c r="J25" s="153"/>
      <c r="K25" s="105"/>
      <c r="L25" s="106"/>
      <c r="M25" s="71"/>
    </row>
    <row r="26" spans="1:13" ht="45.75" customHeight="1" thickBot="1" x14ac:dyDescent="0.4">
      <c r="A26" s="10"/>
      <c r="B26" s="33"/>
      <c r="C26" s="154"/>
      <c r="D26" s="155"/>
      <c r="E26" s="33"/>
      <c r="F26" s="55"/>
      <c r="G26" s="56"/>
      <c r="H26" s="33"/>
      <c r="I26" s="33"/>
      <c r="J26" s="153"/>
      <c r="K26" s="109"/>
      <c r="L26" s="110"/>
      <c r="M26" s="69"/>
    </row>
    <row r="27" spans="1:13" ht="15" thickBot="1" x14ac:dyDescent="0.4">
      <c r="A27" s="1" t="s">
        <v>188</v>
      </c>
      <c r="B27" s="19" t="s">
        <v>44</v>
      </c>
      <c r="C27" s="146" t="s">
        <v>189</v>
      </c>
      <c r="D27" s="147"/>
      <c r="E27" s="59" t="s">
        <v>180</v>
      </c>
      <c r="F27" s="62" t="s">
        <v>181</v>
      </c>
      <c r="G27" s="63"/>
      <c r="H27" s="59">
        <v>8</v>
      </c>
      <c r="I27" s="156" t="s">
        <v>46</v>
      </c>
      <c r="J27" s="150"/>
      <c r="K27" s="102">
        <f>SUM(J27:J36)</f>
        <v>1.455E-6</v>
      </c>
      <c r="L27" s="103"/>
      <c r="M27" s="68">
        <v>2</v>
      </c>
    </row>
    <row r="28" spans="1:13" ht="15" thickBot="1" x14ac:dyDescent="0.4">
      <c r="A28" s="29"/>
      <c r="B28" s="30"/>
      <c r="C28" s="146" t="s">
        <v>16</v>
      </c>
      <c r="D28" s="147"/>
      <c r="E28" s="59" t="s">
        <v>180</v>
      </c>
      <c r="F28" s="62" t="s">
        <v>181</v>
      </c>
      <c r="G28" s="63"/>
      <c r="H28" s="59">
        <v>10</v>
      </c>
      <c r="I28" s="156" t="s">
        <v>186</v>
      </c>
      <c r="J28" s="153">
        <f>0.57/10^6</f>
        <v>5.6999999999999994E-7</v>
      </c>
      <c r="K28" s="105"/>
      <c r="L28" s="106"/>
      <c r="M28" s="71"/>
    </row>
    <row r="29" spans="1:13" x14ac:dyDescent="0.35">
      <c r="A29" s="29"/>
      <c r="B29" s="30"/>
      <c r="C29" s="134" t="s">
        <v>21</v>
      </c>
      <c r="D29" s="135"/>
      <c r="E29" s="19" t="s">
        <v>180</v>
      </c>
      <c r="F29" s="42" t="s">
        <v>181</v>
      </c>
      <c r="G29" s="43"/>
      <c r="H29" s="19">
        <v>10</v>
      </c>
      <c r="I29" s="156"/>
      <c r="J29" s="153"/>
      <c r="K29" s="105"/>
      <c r="L29" s="106"/>
      <c r="M29" s="71"/>
    </row>
    <row r="30" spans="1:13" ht="15" thickBot="1" x14ac:dyDescent="0.4">
      <c r="A30" s="29"/>
      <c r="B30" s="33"/>
      <c r="C30" s="136"/>
      <c r="D30" s="137"/>
      <c r="E30" s="33"/>
      <c r="F30" s="55"/>
      <c r="G30" s="56"/>
      <c r="H30" s="33"/>
      <c r="I30" s="157"/>
      <c r="J30" s="153"/>
      <c r="K30" s="105"/>
      <c r="L30" s="106"/>
      <c r="M30" s="71"/>
    </row>
    <row r="31" spans="1:13" ht="15" thickBot="1" x14ac:dyDescent="0.4">
      <c r="A31" s="29"/>
      <c r="B31" s="19" t="s">
        <v>48</v>
      </c>
      <c r="C31" s="146" t="s">
        <v>16</v>
      </c>
      <c r="D31" s="147"/>
      <c r="E31" s="59" t="s">
        <v>180</v>
      </c>
      <c r="F31" s="62" t="s">
        <v>181</v>
      </c>
      <c r="G31" s="63"/>
      <c r="H31" s="59">
        <v>10</v>
      </c>
      <c r="I31" s="156" t="s">
        <v>49</v>
      </c>
      <c r="J31" s="150"/>
      <c r="K31" s="105"/>
      <c r="L31" s="106"/>
      <c r="M31" s="71"/>
    </row>
    <row r="32" spans="1:13" ht="15" thickBot="1" x14ac:dyDescent="0.4">
      <c r="A32" s="29"/>
      <c r="B32" s="30"/>
      <c r="C32" s="146" t="s">
        <v>21</v>
      </c>
      <c r="D32" s="147"/>
      <c r="E32" s="59" t="s">
        <v>180</v>
      </c>
      <c r="F32" s="65" t="s">
        <v>181</v>
      </c>
      <c r="G32" s="66"/>
      <c r="H32" s="59">
        <v>10</v>
      </c>
      <c r="I32" s="156" t="s">
        <v>187</v>
      </c>
      <c r="J32" s="153">
        <f>0.885/10^6</f>
        <v>8.85E-7</v>
      </c>
      <c r="K32" s="105"/>
      <c r="L32" s="106"/>
      <c r="M32" s="71"/>
    </row>
    <row r="33" spans="1:13" ht="15" thickBot="1" x14ac:dyDescent="0.4">
      <c r="A33" s="29"/>
      <c r="B33" s="30"/>
      <c r="C33" s="146" t="s">
        <v>51</v>
      </c>
      <c r="D33" s="147"/>
      <c r="E33" s="59" t="s">
        <v>31</v>
      </c>
      <c r="F33" s="62"/>
      <c r="G33" s="63"/>
      <c r="H33" s="59">
        <v>7</v>
      </c>
      <c r="I33" s="157"/>
      <c r="J33" s="158"/>
      <c r="K33" s="105"/>
      <c r="L33" s="106"/>
      <c r="M33" s="71"/>
    </row>
    <row r="34" spans="1:13" ht="15.75" customHeight="1" x14ac:dyDescent="0.35">
      <c r="A34" s="29"/>
      <c r="B34" s="30"/>
      <c r="C34" s="148" t="s">
        <v>52</v>
      </c>
      <c r="D34" s="149"/>
      <c r="E34" s="19" t="s">
        <v>31</v>
      </c>
      <c r="F34" s="42"/>
      <c r="G34" s="43"/>
      <c r="H34" s="159">
        <v>44082</v>
      </c>
      <c r="I34" s="19"/>
      <c r="J34" s="150"/>
      <c r="K34" s="105"/>
      <c r="L34" s="106"/>
      <c r="M34" s="71"/>
    </row>
    <row r="35" spans="1:13" ht="28.5" customHeight="1" x14ac:dyDescent="0.35">
      <c r="A35" s="29"/>
      <c r="B35" s="30"/>
      <c r="C35" s="151"/>
      <c r="D35" s="152"/>
      <c r="E35" s="30"/>
      <c r="F35" s="46"/>
      <c r="G35" s="47"/>
      <c r="H35" s="160"/>
      <c r="I35" s="30"/>
      <c r="J35" s="153"/>
      <c r="K35" s="105"/>
      <c r="L35" s="106"/>
      <c r="M35" s="71"/>
    </row>
    <row r="36" spans="1:13" ht="15.75" customHeight="1" thickBot="1" x14ac:dyDescent="0.4">
      <c r="A36" s="10"/>
      <c r="B36" s="33"/>
      <c r="C36" s="154"/>
      <c r="D36" s="155"/>
      <c r="E36" s="33"/>
      <c r="F36" s="55"/>
      <c r="G36" s="56"/>
      <c r="H36" s="161"/>
      <c r="I36" s="33"/>
      <c r="J36" s="158"/>
      <c r="K36" s="109"/>
      <c r="L36" s="110"/>
      <c r="M36" s="69"/>
    </row>
    <row r="37" spans="1:13" x14ac:dyDescent="0.35">
      <c r="A37" s="1" t="s">
        <v>190</v>
      </c>
      <c r="B37" s="19" t="s">
        <v>191</v>
      </c>
      <c r="C37" s="148" t="s">
        <v>192</v>
      </c>
      <c r="D37" s="149"/>
      <c r="E37" s="67" t="s">
        <v>193</v>
      </c>
      <c r="F37" s="162" t="s">
        <v>194</v>
      </c>
      <c r="G37" s="163"/>
      <c r="H37" s="19">
        <v>8</v>
      </c>
      <c r="I37" s="19" t="s">
        <v>195</v>
      </c>
      <c r="J37" s="68">
        <f>2.71/10^6</f>
        <v>2.7099999999999999E-6</v>
      </c>
      <c r="K37" s="102">
        <f>SUM(J37:J70)</f>
        <v>2.8568356666689994E-4</v>
      </c>
      <c r="L37" s="103"/>
      <c r="M37" s="68">
        <v>4</v>
      </c>
    </row>
    <row r="38" spans="1:13" x14ac:dyDescent="0.35">
      <c r="A38" s="29"/>
      <c r="B38" s="30"/>
      <c r="C38" s="151"/>
      <c r="D38" s="152"/>
      <c r="E38" s="30" t="s">
        <v>196</v>
      </c>
      <c r="F38" s="164"/>
      <c r="G38" s="165"/>
      <c r="H38" s="30"/>
      <c r="I38" s="30"/>
      <c r="J38" s="71"/>
      <c r="K38" s="105"/>
      <c r="L38" s="106"/>
      <c r="M38" s="71"/>
    </row>
    <row r="39" spans="1:13" ht="15" thickBot="1" x14ac:dyDescent="0.4">
      <c r="A39" s="29"/>
      <c r="B39" s="30"/>
      <c r="C39" s="154"/>
      <c r="D39" s="155"/>
      <c r="E39" s="33"/>
      <c r="F39" s="166"/>
      <c r="G39" s="167"/>
      <c r="H39" s="33"/>
      <c r="I39" s="33"/>
      <c r="J39" s="69"/>
      <c r="K39" s="105"/>
      <c r="L39" s="106"/>
      <c r="M39" s="71"/>
    </row>
    <row r="40" spans="1:13" ht="29.5" thickBot="1" x14ac:dyDescent="0.4">
      <c r="A40" s="29"/>
      <c r="B40" s="30"/>
      <c r="C40" s="168" t="s">
        <v>197</v>
      </c>
      <c r="D40" s="169" t="s">
        <v>198</v>
      </c>
      <c r="E40" s="19" t="s">
        <v>199</v>
      </c>
      <c r="F40" s="42"/>
      <c r="G40" s="43"/>
      <c r="H40" s="19">
        <v>9</v>
      </c>
      <c r="I40" s="19" t="s">
        <v>200</v>
      </c>
      <c r="J40" s="68">
        <f>7.26/10^6</f>
        <v>7.2599999999999999E-6</v>
      </c>
      <c r="K40" s="105"/>
      <c r="L40" s="106"/>
      <c r="M40" s="71"/>
    </row>
    <row r="41" spans="1:13" ht="29.5" thickBot="1" x14ac:dyDescent="0.4">
      <c r="A41" s="29"/>
      <c r="B41" s="30"/>
      <c r="C41" s="168" t="s">
        <v>201</v>
      </c>
      <c r="D41" s="170"/>
      <c r="E41" s="30"/>
      <c r="F41" s="46"/>
      <c r="G41" s="47"/>
      <c r="H41" s="30"/>
      <c r="I41" s="30"/>
      <c r="J41" s="71"/>
      <c r="K41" s="105"/>
      <c r="L41" s="106"/>
      <c r="M41" s="71"/>
    </row>
    <row r="42" spans="1:13" ht="15" thickBot="1" x14ac:dyDescent="0.4">
      <c r="A42" s="29"/>
      <c r="B42" s="30"/>
      <c r="C42" s="168" t="s">
        <v>202</v>
      </c>
      <c r="D42" s="170"/>
      <c r="E42" s="30"/>
      <c r="F42" s="46"/>
      <c r="G42" s="47"/>
      <c r="H42" s="30"/>
      <c r="I42" s="30"/>
      <c r="J42" s="71"/>
      <c r="K42" s="105"/>
      <c r="L42" s="106"/>
      <c r="M42" s="71"/>
    </row>
    <row r="43" spans="1:13" x14ac:dyDescent="0.35">
      <c r="A43" s="29"/>
      <c r="B43" s="30"/>
      <c r="C43" s="19" t="s">
        <v>203</v>
      </c>
      <c r="D43" s="170"/>
      <c r="E43" s="30"/>
      <c r="F43" s="46"/>
      <c r="G43" s="47"/>
      <c r="H43" s="30"/>
      <c r="I43" s="30"/>
      <c r="J43" s="71"/>
      <c r="K43" s="105"/>
      <c r="L43" s="106"/>
      <c r="M43" s="71"/>
    </row>
    <row r="44" spans="1:13" ht="15" thickBot="1" x14ac:dyDescent="0.4">
      <c r="A44" s="29"/>
      <c r="B44" s="30"/>
      <c r="C44" s="33"/>
      <c r="D44" s="170"/>
      <c r="E44" s="30"/>
      <c r="F44" s="46"/>
      <c r="G44" s="47"/>
      <c r="H44" s="30"/>
      <c r="I44" s="30"/>
      <c r="J44" s="71"/>
      <c r="K44" s="105"/>
      <c r="L44" s="106"/>
      <c r="M44" s="71"/>
    </row>
    <row r="45" spans="1:13" ht="28.5" customHeight="1" x14ac:dyDescent="0.35">
      <c r="A45" s="29"/>
      <c r="B45" s="30"/>
      <c r="C45" s="19" t="s">
        <v>204</v>
      </c>
      <c r="D45" s="170"/>
      <c r="E45" s="30"/>
      <c r="F45" s="46"/>
      <c r="G45" s="47"/>
      <c r="H45" s="30"/>
      <c r="I45" s="30"/>
      <c r="J45" s="71"/>
      <c r="K45" s="105"/>
      <c r="L45" s="106"/>
      <c r="M45" s="71"/>
    </row>
    <row r="46" spans="1:13" ht="15" thickBot="1" x14ac:dyDescent="0.4">
      <c r="A46" s="29"/>
      <c r="B46" s="30"/>
      <c r="C46" s="33"/>
      <c r="D46" s="170"/>
      <c r="E46" s="30"/>
      <c r="F46" s="46"/>
      <c r="G46" s="47"/>
      <c r="H46" s="30"/>
      <c r="I46" s="30"/>
      <c r="J46" s="71"/>
      <c r="K46" s="105"/>
      <c r="L46" s="106"/>
      <c r="M46" s="71"/>
    </row>
    <row r="47" spans="1:13" x14ac:dyDescent="0.35">
      <c r="A47" s="29"/>
      <c r="B47" s="30"/>
      <c r="C47" s="19" t="s">
        <v>205</v>
      </c>
      <c r="D47" s="170"/>
      <c r="E47" s="30"/>
      <c r="F47" s="46"/>
      <c r="G47" s="47"/>
      <c r="H47" s="30"/>
      <c r="I47" s="30"/>
      <c r="J47" s="71"/>
      <c r="K47" s="105"/>
      <c r="L47" s="106"/>
      <c r="M47" s="71"/>
    </row>
    <row r="48" spans="1:13" ht="15" thickBot="1" x14ac:dyDescent="0.4">
      <c r="A48" s="29"/>
      <c r="B48" s="33"/>
      <c r="C48" s="33"/>
      <c r="D48" s="171"/>
      <c r="E48" s="33"/>
      <c r="F48" s="55"/>
      <c r="G48" s="56"/>
      <c r="H48" s="33"/>
      <c r="I48" s="33"/>
      <c r="J48" s="69"/>
      <c r="K48" s="105"/>
      <c r="L48" s="106"/>
      <c r="M48" s="71"/>
    </row>
    <row r="49" spans="1:13" ht="15" thickBot="1" x14ac:dyDescent="0.4">
      <c r="A49" s="29"/>
      <c r="B49" s="59" t="s">
        <v>206</v>
      </c>
      <c r="C49" s="144" t="s">
        <v>39</v>
      </c>
      <c r="D49" s="145"/>
      <c r="E49" s="59" t="s">
        <v>207</v>
      </c>
      <c r="F49" s="76" t="s">
        <v>208</v>
      </c>
      <c r="G49" s="77"/>
      <c r="H49" s="59">
        <v>4</v>
      </c>
      <c r="I49" s="59" t="s">
        <v>209</v>
      </c>
      <c r="J49" s="64">
        <f>1/4285.71</f>
        <v>2.3333356666689999E-4</v>
      </c>
      <c r="K49" s="105"/>
      <c r="L49" s="106"/>
      <c r="M49" s="71"/>
    </row>
    <row r="50" spans="1:13" x14ac:dyDescent="0.35">
      <c r="A50" s="29"/>
      <c r="B50" s="19" t="s">
        <v>210</v>
      </c>
      <c r="C50" s="134" t="s">
        <v>39</v>
      </c>
      <c r="D50" s="135"/>
      <c r="E50" s="19" t="s">
        <v>211</v>
      </c>
      <c r="F50" s="22"/>
      <c r="G50" s="23"/>
      <c r="H50" s="19">
        <v>4</v>
      </c>
      <c r="I50" s="19" t="s">
        <v>212</v>
      </c>
      <c r="J50" s="68">
        <f>4.99/10^6</f>
        <v>4.9900000000000005E-6</v>
      </c>
      <c r="K50" s="105"/>
      <c r="L50" s="106"/>
      <c r="M50" s="71"/>
    </row>
    <row r="51" spans="1:13" x14ac:dyDescent="0.35">
      <c r="A51" s="29"/>
      <c r="B51" s="30"/>
      <c r="C51" s="172"/>
      <c r="D51" s="173"/>
      <c r="E51" s="30"/>
      <c r="F51" s="72"/>
      <c r="G51" s="73"/>
      <c r="H51" s="30"/>
      <c r="I51" s="30"/>
      <c r="J51" s="71"/>
      <c r="K51" s="105"/>
      <c r="L51" s="106"/>
      <c r="M51" s="71"/>
    </row>
    <row r="52" spans="1:13" ht="15" thickBot="1" x14ac:dyDescent="0.4">
      <c r="A52" s="29"/>
      <c r="B52" s="33"/>
      <c r="C52" s="136"/>
      <c r="D52" s="137"/>
      <c r="E52" s="33"/>
      <c r="F52" s="34"/>
      <c r="G52" s="35"/>
      <c r="H52" s="33"/>
      <c r="I52" s="33"/>
      <c r="J52" s="69"/>
      <c r="K52" s="105"/>
      <c r="L52" s="106"/>
      <c r="M52" s="71"/>
    </row>
    <row r="53" spans="1:13" ht="29.5" thickBot="1" x14ac:dyDescent="0.4">
      <c r="A53" s="29"/>
      <c r="B53" s="59" t="s">
        <v>213</v>
      </c>
      <c r="C53" s="144" t="s">
        <v>214</v>
      </c>
      <c r="D53" s="145"/>
      <c r="E53" s="59" t="s">
        <v>215</v>
      </c>
      <c r="F53" s="62"/>
      <c r="G53" s="63"/>
      <c r="H53" s="59">
        <v>6</v>
      </c>
      <c r="I53" s="59" t="s">
        <v>216</v>
      </c>
      <c r="J53" s="64">
        <f>8/10^6</f>
        <v>7.9999999999999996E-6</v>
      </c>
      <c r="K53" s="105"/>
      <c r="L53" s="106"/>
      <c r="M53" s="71"/>
    </row>
    <row r="54" spans="1:13" x14ac:dyDescent="0.35">
      <c r="A54" s="29"/>
      <c r="B54" s="19" t="s">
        <v>217</v>
      </c>
      <c r="C54" s="148" t="s">
        <v>52</v>
      </c>
      <c r="D54" s="149"/>
      <c r="E54" s="19" t="s">
        <v>218</v>
      </c>
      <c r="F54" s="22" t="s">
        <v>219</v>
      </c>
      <c r="G54" s="23"/>
      <c r="H54" s="19">
        <v>6</v>
      </c>
      <c r="I54" s="19" t="s">
        <v>220</v>
      </c>
      <c r="J54" s="68">
        <f>3.77/10^6</f>
        <v>3.7699999999999999E-6</v>
      </c>
      <c r="K54" s="105"/>
      <c r="L54" s="106"/>
      <c r="M54" s="71"/>
    </row>
    <row r="55" spans="1:13" x14ac:dyDescent="0.35">
      <c r="A55" s="29"/>
      <c r="B55" s="30"/>
      <c r="C55" s="151"/>
      <c r="D55" s="152"/>
      <c r="E55" s="30"/>
      <c r="F55" s="72"/>
      <c r="G55" s="73"/>
      <c r="H55" s="30"/>
      <c r="I55" s="30"/>
      <c r="J55" s="71"/>
      <c r="K55" s="105"/>
      <c r="L55" s="106"/>
      <c r="M55" s="71"/>
    </row>
    <row r="56" spans="1:13" x14ac:dyDescent="0.35">
      <c r="A56" s="29"/>
      <c r="B56" s="30"/>
      <c r="C56" s="151"/>
      <c r="D56" s="152"/>
      <c r="E56" s="30"/>
      <c r="F56" s="72"/>
      <c r="G56" s="73"/>
      <c r="H56" s="30"/>
      <c r="I56" s="30"/>
      <c r="J56" s="71"/>
      <c r="K56" s="105"/>
      <c r="L56" s="106"/>
      <c r="M56" s="71"/>
    </row>
    <row r="57" spans="1:13" x14ac:dyDescent="0.35">
      <c r="A57" s="29"/>
      <c r="B57" s="30"/>
      <c r="C57" s="151"/>
      <c r="D57" s="152"/>
      <c r="E57" s="30"/>
      <c r="F57" s="72"/>
      <c r="G57" s="73"/>
      <c r="H57" s="30"/>
      <c r="I57" s="30"/>
      <c r="J57" s="71"/>
      <c r="K57" s="105"/>
      <c r="L57" s="106"/>
      <c r="M57" s="71"/>
    </row>
    <row r="58" spans="1:13" x14ac:dyDescent="0.35">
      <c r="A58" s="29"/>
      <c r="B58" s="30"/>
      <c r="C58" s="151"/>
      <c r="D58" s="152"/>
      <c r="E58" s="30"/>
      <c r="F58" s="72"/>
      <c r="G58" s="73"/>
      <c r="H58" s="30"/>
      <c r="I58" s="30"/>
      <c r="J58" s="71"/>
      <c r="K58" s="105"/>
      <c r="L58" s="106"/>
      <c r="M58" s="71"/>
    </row>
    <row r="59" spans="1:13" ht="30" customHeight="1" x14ac:dyDescent="0.35">
      <c r="A59" s="29"/>
      <c r="B59" s="30"/>
      <c r="C59" s="151"/>
      <c r="D59" s="152"/>
      <c r="E59" s="30"/>
      <c r="F59" s="72"/>
      <c r="G59" s="73"/>
      <c r="H59" s="30"/>
      <c r="I59" s="30"/>
      <c r="J59" s="71"/>
      <c r="K59" s="105"/>
      <c r="L59" s="106"/>
      <c r="M59" s="71"/>
    </row>
    <row r="60" spans="1:13" x14ac:dyDescent="0.35">
      <c r="A60" s="29"/>
      <c r="B60" s="30"/>
      <c r="C60" s="151"/>
      <c r="D60" s="152"/>
      <c r="E60" s="30"/>
      <c r="F60" s="72"/>
      <c r="G60" s="73"/>
      <c r="H60" s="30"/>
      <c r="I60" s="30"/>
      <c r="J60" s="71"/>
      <c r="K60" s="105"/>
      <c r="L60" s="106"/>
      <c r="M60" s="71"/>
    </row>
    <row r="61" spans="1:13" ht="30" customHeight="1" x14ac:dyDescent="0.35">
      <c r="A61" s="29"/>
      <c r="B61" s="30"/>
      <c r="C61" s="151"/>
      <c r="D61" s="152"/>
      <c r="E61" s="30"/>
      <c r="F61" s="72"/>
      <c r="G61" s="73"/>
      <c r="H61" s="30"/>
      <c r="I61" s="30"/>
      <c r="J61" s="71"/>
      <c r="K61" s="105"/>
      <c r="L61" s="106"/>
      <c r="M61" s="71"/>
    </row>
    <row r="62" spans="1:13" x14ac:dyDescent="0.35">
      <c r="A62" s="29"/>
      <c r="B62" s="30"/>
      <c r="C62" s="151"/>
      <c r="D62" s="152"/>
      <c r="E62" s="30"/>
      <c r="F62" s="72"/>
      <c r="G62" s="73"/>
      <c r="H62" s="30"/>
      <c r="I62" s="30"/>
      <c r="J62" s="71"/>
      <c r="K62" s="105"/>
      <c r="L62" s="106"/>
      <c r="M62" s="71"/>
    </row>
    <row r="63" spans="1:13" ht="60" customHeight="1" x14ac:dyDescent="0.35">
      <c r="A63" s="29"/>
      <c r="B63" s="30"/>
      <c r="C63" s="151"/>
      <c r="D63" s="152"/>
      <c r="E63" s="30"/>
      <c r="F63" s="72"/>
      <c r="G63" s="73"/>
      <c r="H63" s="30"/>
      <c r="I63" s="30"/>
      <c r="J63" s="71"/>
      <c r="K63" s="105"/>
      <c r="L63" s="106"/>
      <c r="M63" s="71"/>
    </row>
    <row r="64" spans="1:13" x14ac:dyDescent="0.35">
      <c r="A64" s="29"/>
      <c r="B64" s="30"/>
      <c r="C64" s="151"/>
      <c r="D64" s="152"/>
      <c r="E64" s="30"/>
      <c r="F64" s="72"/>
      <c r="G64" s="73"/>
      <c r="H64" s="30"/>
      <c r="I64" s="30"/>
      <c r="J64" s="71"/>
      <c r="K64" s="105"/>
      <c r="L64" s="106"/>
      <c r="M64" s="71"/>
    </row>
    <row r="65" spans="1:18" ht="29.5" thickBot="1" x14ac:dyDescent="0.4">
      <c r="A65" s="29"/>
      <c r="B65" s="30"/>
      <c r="C65" s="151"/>
      <c r="D65" s="152"/>
      <c r="E65" s="33"/>
      <c r="F65" s="34"/>
      <c r="G65" s="35"/>
      <c r="H65" s="33"/>
      <c r="I65" s="33"/>
      <c r="J65" s="69"/>
      <c r="K65" s="105"/>
      <c r="L65" s="106"/>
      <c r="M65" s="71"/>
      <c r="O65" s="117" t="s">
        <v>221</v>
      </c>
      <c r="P65" s="127" t="s">
        <v>222</v>
      </c>
      <c r="R65" s="127" t="s">
        <v>223</v>
      </c>
    </row>
    <row r="66" spans="1:18" ht="43" customHeight="1" thickBot="1" x14ac:dyDescent="0.4">
      <c r="A66" s="29"/>
      <c r="B66" s="33"/>
      <c r="C66" s="154"/>
      <c r="D66" s="155"/>
      <c r="E66" s="59" t="s">
        <v>21</v>
      </c>
      <c r="F66" s="65"/>
      <c r="G66" s="66"/>
      <c r="H66" s="59">
        <v>9</v>
      </c>
      <c r="I66" s="59" t="s">
        <v>224</v>
      </c>
      <c r="J66" s="64">
        <f>0.47/10^6</f>
        <v>4.6999999999999995E-7</v>
      </c>
      <c r="K66" s="105"/>
      <c r="L66" s="106"/>
      <c r="M66" s="71"/>
      <c r="O66" s="127" t="s">
        <v>225</v>
      </c>
    </row>
    <row r="67" spans="1:18" ht="44" thickBot="1" x14ac:dyDescent="0.4">
      <c r="A67" s="29"/>
      <c r="B67" s="19" t="s">
        <v>226</v>
      </c>
      <c r="C67" s="146" t="s">
        <v>227</v>
      </c>
      <c r="D67" s="147"/>
      <c r="E67" s="59" t="s">
        <v>228</v>
      </c>
      <c r="F67" s="62"/>
      <c r="G67" s="63"/>
      <c r="H67" s="59">
        <v>7</v>
      </c>
      <c r="I67" s="59" t="s">
        <v>229</v>
      </c>
      <c r="J67" s="64">
        <f>17.61/10^6</f>
        <v>1.7609999999999999E-5</v>
      </c>
      <c r="K67" s="105"/>
      <c r="L67" s="106"/>
      <c r="M67" s="71"/>
    </row>
    <row r="68" spans="1:18" x14ac:dyDescent="0.35">
      <c r="A68" s="29"/>
      <c r="B68" s="30"/>
      <c r="C68" s="148" t="s">
        <v>52</v>
      </c>
      <c r="D68" s="149"/>
      <c r="E68" s="19" t="s">
        <v>230</v>
      </c>
      <c r="F68" s="42"/>
      <c r="G68" s="43"/>
      <c r="H68" s="19">
        <v>8</v>
      </c>
      <c r="I68" s="19" t="s">
        <v>220</v>
      </c>
      <c r="J68" s="68">
        <f>3.77/10^6</f>
        <v>3.7699999999999999E-6</v>
      </c>
      <c r="K68" s="105"/>
      <c r="L68" s="106"/>
      <c r="M68" s="71"/>
    </row>
    <row r="69" spans="1:18" ht="15" thickBot="1" x14ac:dyDescent="0.4">
      <c r="A69" s="29"/>
      <c r="B69" s="30"/>
      <c r="C69" s="154"/>
      <c r="D69" s="155"/>
      <c r="E69" s="33"/>
      <c r="F69" s="55"/>
      <c r="G69" s="56"/>
      <c r="H69" s="33"/>
      <c r="I69" s="33"/>
      <c r="J69" s="69"/>
      <c r="K69" s="105"/>
      <c r="L69" s="106"/>
      <c r="M69" s="71"/>
    </row>
    <row r="70" spans="1:18" ht="15" thickBot="1" x14ac:dyDescent="0.4">
      <c r="A70" s="10"/>
      <c r="B70" s="33"/>
      <c r="C70" s="146" t="s">
        <v>231</v>
      </c>
      <c r="D70" s="147"/>
      <c r="E70" s="59" t="s">
        <v>230</v>
      </c>
      <c r="F70" s="65"/>
      <c r="G70" s="66"/>
      <c r="H70" s="59">
        <v>8</v>
      </c>
      <c r="I70" s="59" t="s">
        <v>220</v>
      </c>
      <c r="J70" s="64">
        <f>3.77/10^6</f>
        <v>3.7699999999999999E-6</v>
      </c>
      <c r="K70" s="109"/>
      <c r="L70" s="110"/>
      <c r="M70" s="69"/>
    </row>
    <row r="71" spans="1:18" x14ac:dyDescent="0.35">
      <c r="A71" s="1" t="s">
        <v>232</v>
      </c>
      <c r="B71" s="19"/>
      <c r="C71" s="148" t="s">
        <v>52</v>
      </c>
      <c r="D71" s="149"/>
      <c r="E71" s="19" t="s">
        <v>233</v>
      </c>
      <c r="F71" s="42"/>
      <c r="G71" s="43"/>
      <c r="H71" s="19">
        <v>4</v>
      </c>
      <c r="I71" s="19" t="s">
        <v>55</v>
      </c>
      <c r="J71" s="68">
        <f>2/10^6</f>
        <v>1.9999999999999999E-6</v>
      </c>
      <c r="K71" s="102">
        <f>SUM(J71:J81)</f>
        <v>1.6170000000000003E-5</v>
      </c>
      <c r="L71" s="103"/>
      <c r="M71" s="68">
        <v>2</v>
      </c>
    </row>
    <row r="72" spans="1:18" ht="86.5" customHeight="1" thickBot="1" x14ac:dyDescent="0.4">
      <c r="A72" s="29"/>
      <c r="B72" s="30"/>
      <c r="C72" s="154"/>
      <c r="D72" s="155"/>
      <c r="E72" s="33"/>
      <c r="F72" s="55"/>
      <c r="G72" s="56"/>
      <c r="H72" s="33"/>
      <c r="I72" s="33"/>
      <c r="J72" s="69"/>
      <c r="K72" s="105"/>
      <c r="L72" s="106"/>
      <c r="M72" s="71"/>
    </row>
    <row r="73" spans="1:18" x14ac:dyDescent="0.35">
      <c r="A73" s="29"/>
      <c r="B73" s="30"/>
      <c r="C73" s="148" t="s">
        <v>56</v>
      </c>
      <c r="D73" s="149"/>
      <c r="E73" s="19" t="s">
        <v>234</v>
      </c>
      <c r="F73" s="42"/>
      <c r="G73" s="43"/>
      <c r="H73" s="19">
        <v>7</v>
      </c>
      <c r="I73" s="19" t="s">
        <v>58</v>
      </c>
      <c r="J73" s="68">
        <f>4.02/10^6</f>
        <v>4.0199999999999996E-6</v>
      </c>
      <c r="K73" s="105"/>
      <c r="L73" s="106"/>
      <c r="M73" s="71"/>
    </row>
    <row r="74" spans="1:18" x14ac:dyDescent="0.35">
      <c r="A74" s="29"/>
      <c r="B74" s="30"/>
      <c r="C74" s="151"/>
      <c r="D74" s="152"/>
      <c r="E74" s="30"/>
      <c r="F74" s="46"/>
      <c r="G74" s="47"/>
      <c r="H74" s="30"/>
      <c r="I74" s="30"/>
      <c r="J74" s="71"/>
      <c r="K74" s="105"/>
      <c r="L74" s="106"/>
      <c r="M74" s="71"/>
    </row>
    <row r="75" spans="1:18" x14ac:dyDescent="0.35">
      <c r="A75" s="29"/>
      <c r="B75" s="30"/>
      <c r="C75" s="151"/>
      <c r="D75" s="152"/>
      <c r="E75" s="30"/>
      <c r="F75" s="46"/>
      <c r="G75" s="47"/>
      <c r="H75" s="30"/>
      <c r="I75" s="30"/>
      <c r="J75" s="71"/>
      <c r="K75" s="105"/>
      <c r="L75" s="106"/>
      <c r="M75" s="71"/>
    </row>
    <row r="76" spans="1:18" x14ac:dyDescent="0.35">
      <c r="A76" s="29"/>
      <c r="B76" s="30"/>
      <c r="C76" s="151"/>
      <c r="D76" s="152"/>
      <c r="E76" s="30"/>
      <c r="F76" s="46"/>
      <c r="G76" s="47"/>
      <c r="H76" s="30"/>
      <c r="I76" s="30"/>
      <c r="J76" s="71"/>
      <c r="K76" s="105"/>
      <c r="L76" s="106"/>
      <c r="M76" s="71"/>
    </row>
    <row r="77" spans="1:18" x14ac:dyDescent="0.35">
      <c r="A77" s="29"/>
      <c r="B77" s="30"/>
      <c r="C77" s="151"/>
      <c r="D77" s="152"/>
      <c r="E77" s="30"/>
      <c r="F77" s="46"/>
      <c r="G77" s="47"/>
      <c r="H77" s="30"/>
      <c r="I77" s="30"/>
      <c r="J77" s="71"/>
      <c r="K77" s="105"/>
      <c r="L77" s="106"/>
      <c r="M77" s="71"/>
    </row>
    <row r="78" spans="1:18" ht="15" thickBot="1" x14ac:dyDescent="0.4">
      <c r="A78" s="29"/>
      <c r="B78" s="30"/>
      <c r="C78" s="154"/>
      <c r="D78" s="155"/>
      <c r="E78" s="33"/>
      <c r="F78" s="55"/>
      <c r="G78" s="56"/>
      <c r="H78" s="33"/>
      <c r="I78" s="33"/>
      <c r="J78" s="69"/>
      <c r="K78" s="105"/>
      <c r="L78" s="106"/>
      <c r="M78" s="71"/>
    </row>
    <row r="79" spans="1:18" x14ac:dyDescent="0.35">
      <c r="A79" s="29"/>
      <c r="B79" s="30"/>
      <c r="C79" s="148" t="s">
        <v>59</v>
      </c>
      <c r="D79" s="149"/>
      <c r="E79" s="19" t="s">
        <v>235</v>
      </c>
      <c r="F79" s="174"/>
      <c r="G79" s="175" t="s">
        <v>236</v>
      </c>
      <c r="H79" s="19">
        <v>9</v>
      </c>
      <c r="I79" s="19" t="s">
        <v>62</v>
      </c>
      <c r="J79" s="68">
        <f>10.15/10^6</f>
        <v>1.0150000000000001E-5</v>
      </c>
      <c r="K79" s="105"/>
      <c r="L79" s="106"/>
      <c r="M79" s="71"/>
    </row>
    <row r="80" spans="1:18" x14ac:dyDescent="0.35">
      <c r="A80" s="29"/>
      <c r="B80" s="30"/>
      <c r="C80" s="151"/>
      <c r="D80" s="152"/>
      <c r="E80" s="30"/>
      <c r="F80" s="176"/>
      <c r="G80" s="177"/>
      <c r="H80" s="30"/>
      <c r="I80" s="30"/>
      <c r="J80" s="71"/>
      <c r="K80" s="105"/>
      <c r="L80" s="106"/>
      <c r="M80" s="71"/>
    </row>
    <row r="81" spans="1:13" ht="15" thickBot="1" x14ac:dyDescent="0.4">
      <c r="A81" s="10"/>
      <c r="B81" s="33"/>
      <c r="C81" s="154"/>
      <c r="D81" s="155"/>
      <c r="E81" s="33"/>
      <c r="F81" s="178"/>
      <c r="G81" s="179"/>
      <c r="H81" s="33"/>
      <c r="I81" s="33"/>
      <c r="J81" s="69"/>
      <c r="K81" s="109"/>
      <c r="L81" s="110"/>
      <c r="M81" s="71"/>
    </row>
    <row r="82" spans="1:13" ht="29.5" thickBot="1" x14ac:dyDescent="0.4">
      <c r="A82" s="1" t="s">
        <v>63</v>
      </c>
      <c r="B82" s="19" t="s">
        <v>64</v>
      </c>
      <c r="C82" s="146" t="s">
        <v>65</v>
      </c>
      <c r="D82" s="147"/>
      <c r="E82" s="59" t="s">
        <v>66</v>
      </c>
      <c r="F82" s="65"/>
      <c r="G82" s="66"/>
      <c r="H82" s="59">
        <v>5</v>
      </c>
      <c r="I82" s="67" t="s">
        <v>67</v>
      </c>
      <c r="J82" s="68">
        <f>2.23/10^6</f>
        <v>2.2299999999999998E-6</v>
      </c>
      <c r="K82" s="102">
        <f>SUM(J82:J87)</f>
        <v>2.2299999999999998E-6</v>
      </c>
      <c r="L82" s="103"/>
      <c r="M82" s="68">
        <v>2</v>
      </c>
    </row>
    <row r="83" spans="1:13" x14ac:dyDescent="0.35">
      <c r="A83" s="29"/>
      <c r="B83" s="30"/>
      <c r="C83" s="148" t="s">
        <v>68</v>
      </c>
      <c r="D83" s="149"/>
      <c r="E83" s="67" t="s">
        <v>237</v>
      </c>
      <c r="F83" s="22"/>
      <c r="G83" s="23"/>
      <c r="H83" s="19">
        <v>5</v>
      </c>
      <c r="I83" s="67" t="s">
        <v>238</v>
      </c>
      <c r="J83" s="71"/>
      <c r="K83" s="105"/>
      <c r="L83" s="106"/>
      <c r="M83" s="71"/>
    </row>
    <row r="84" spans="1:13" x14ac:dyDescent="0.35">
      <c r="A84" s="29"/>
      <c r="B84" s="30"/>
      <c r="C84" s="151"/>
      <c r="D84" s="152"/>
      <c r="E84" s="67" t="s">
        <v>239</v>
      </c>
      <c r="F84" s="72"/>
      <c r="G84" s="73"/>
      <c r="H84" s="30"/>
      <c r="I84" s="67"/>
      <c r="J84" s="71"/>
      <c r="K84" s="105"/>
      <c r="L84" s="106"/>
      <c r="M84" s="71"/>
    </row>
    <row r="85" spans="1:13" ht="29.5" thickBot="1" x14ac:dyDescent="0.4">
      <c r="A85" s="29"/>
      <c r="B85" s="30"/>
      <c r="C85" s="154"/>
      <c r="D85" s="155"/>
      <c r="E85" s="59" t="s">
        <v>240</v>
      </c>
      <c r="F85" s="34"/>
      <c r="G85" s="35"/>
      <c r="H85" s="33"/>
      <c r="I85" s="67"/>
      <c r="J85" s="71"/>
      <c r="K85" s="105"/>
      <c r="L85" s="106"/>
      <c r="M85" s="71"/>
    </row>
    <row r="86" spans="1:13" x14ac:dyDescent="0.35">
      <c r="A86" s="29"/>
      <c r="B86" s="30"/>
      <c r="C86" s="148" t="s">
        <v>72</v>
      </c>
      <c r="D86" s="149"/>
      <c r="E86" s="19" t="s">
        <v>73</v>
      </c>
      <c r="F86" s="22"/>
      <c r="G86" s="23"/>
      <c r="H86" s="19">
        <v>5</v>
      </c>
      <c r="I86" s="67"/>
      <c r="J86" s="71"/>
      <c r="K86" s="105"/>
      <c r="L86" s="106"/>
      <c r="M86" s="71"/>
    </row>
    <row r="87" spans="1:13" ht="15" thickBot="1" x14ac:dyDescent="0.4">
      <c r="A87" s="29"/>
      <c r="B87" s="33"/>
      <c r="C87" s="154"/>
      <c r="D87" s="155"/>
      <c r="E87" s="33"/>
      <c r="F87" s="34"/>
      <c r="G87" s="35"/>
      <c r="H87" s="33"/>
      <c r="I87" s="59"/>
      <c r="J87" s="69"/>
      <c r="K87" s="109"/>
      <c r="L87" s="110"/>
      <c r="M87" s="69"/>
    </row>
    <row r="88" spans="1:13" ht="29.5" thickBot="1" x14ac:dyDescent="0.4">
      <c r="A88" s="29"/>
      <c r="B88" s="19" t="s">
        <v>74</v>
      </c>
      <c r="C88" s="146" t="s">
        <v>65</v>
      </c>
      <c r="D88" s="147"/>
      <c r="E88" s="59" t="s">
        <v>75</v>
      </c>
      <c r="F88" s="65"/>
      <c r="G88" s="66"/>
      <c r="H88" s="59">
        <v>5</v>
      </c>
      <c r="I88" s="67" t="s">
        <v>76</v>
      </c>
      <c r="J88" s="68">
        <f>5.3/10^6</f>
        <v>5.3000000000000001E-6</v>
      </c>
      <c r="K88" s="102">
        <f>SUM(J88:J89)</f>
        <v>5.3000000000000001E-6</v>
      </c>
      <c r="L88" s="103"/>
      <c r="M88" s="68">
        <v>2</v>
      </c>
    </row>
    <row r="89" spans="1:13" ht="86.25" customHeight="1" x14ac:dyDescent="0.35">
      <c r="A89" s="29"/>
      <c r="B89" s="30"/>
      <c r="C89" s="148" t="s">
        <v>68</v>
      </c>
      <c r="D89" s="149"/>
      <c r="E89" s="67"/>
      <c r="F89" s="22"/>
      <c r="G89" s="23"/>
      <c r="H89" s="19">
        <v>5</v>
      </c>
      <c r="I89" s="67" t="s">
        <v>241</v>
      </c>
      <c r="J89" s="71"/>
      <c r="K89" s="105"/>
      <c r="L89" s="106"/>
      <c r="M89" s="71"/>
    </row>
    <row r="90" spans="1:13" ht="44" thickBot="1" x14ac:dyDescent="0.4">
      <c r="A90" s="29"/>
      <c r="B90" s="30"/>
      <c r="C90" s="154"/>
      <c r="D90" s="155"/>
      <c r="E90" s="59" t="s">
        <v>242</v>
      </c>
      <c r="F90" s="34"/>
      <c r="G90" s="35"/>
      <c r="H90" s="33"/>
      <c r="I90" s="67"/>
      <c r="J90" s="71"/>
      <c r="K90" s="105"/>
      <c r="L90" s="106"/>
      <c r="M90" s="71"/>
    </row>
    <row r="91" spans="1:13" ht="29.5" thickBot="1" x14ac:dyDescent="0.4">
      <c r="A91" s="29"/>
      <c r="B91" s="33"/>
      <c r="C91" s="146" t="s">
        <v>72</v>
      </c>
      <c r="D91" s="147"/>
      <c r="E91" s="59" t="s">
        <v>243</v>
      </c>
      <c r="F91" s="62"/>
      <c r="G91" s="63"/>
      <c r="H91" s="59">
        <v>6</v>
      </c>
      <c r="I91" s="59"/>
      <c r="J91" s="69"/>
      <c r="K91" s="109"/>
      <c r="L91" s="110"/>
      <c r="M91" s="69"/>
    </row>
    <row r="92" spans="1:13" ht="28.5" customHeight="1" x14ac:dyDescent="0.35">
      <c r="A92" s="29"/>
      <c r="B92" s="19" t="s">
        <v>80</v>
      </c>
      <c r="C92" s="148" t="s">
        <v>65</v>
      </c>
      <c r="D92" s="149"/>
      <c r="E92" s="19" t="s">
        <v>81</v>
      </c>
      <c r="F92" s="42"/>
      <c r="G92" s="43"/>
      <c r="H92" s="19">
        <v>5</v>
      </c>
      <c r="I92" s="67" t="s">
        <v>82</v>
      </c>
      <c r="J92" s="68">
        <f>0.46/10^6</f>
        <v>4.6000000000000004E-7</v>
      </c>
      <c r="K92" s="102">
        <f>SUM(J92:J97)</f>
        <v>1.0850000000000001E-5</v>
      </c>
      <c r="L92" s="103"/>
      <c r="M92" s="68">
        <v>2</v>
      </c>
    </row>
    <row r="93" spans="1:13" ht="15" thickBot="1" x14ac:dyDescent="0.4">
      <c r="A93" s="29"/>
      <c r="B93" s="30"/>
      <c r="C93" s="154"/>
      <c r="D93" s="155"/>
      <c r="E93" s="33"/>
      <c r="F93" s="55"/>
      <c r="G93" s="56"/>
      <c r="H93" s="33"/>
      <c r="I93" s="59" t="s">
        <v>244</v>
      </c>
      <c r="J93" s="69"/>
      <c r="K93" s="105"/>
      <c r="L93" s="106"/>
      <c r="M93" s="71"/>
    </row>
    <row r="94" spans="1:13" ht="159" customHeight="1" x14ac:dyDescent="0.35">
      <c r="A94" s="29"/>
      <c r="B94" s="30"/>
      <c r="C94" s="148" t="s">
        <v>84</v>
      </c>
      <c r="D94" s="149"/>
      <c r="E94" s="19" t="s">
        <v>245</v>
      </c>
      <c r="F94" s="42"/>
      <c r="G94" s="43"/>
      <c r="H94" s="19">
        <v>5</v>
      </c>
      <c r="I94" s="67" t="s">
        <v>86</v>
      </c>
      <c r="J94" s="68">
        <f>9.93/10^6</f>
        <v>9.9299999999999998E-6</v>
      </c>
      <c r="K94" s="105"/>
      <c r="L94" s="106"/>
      <c r="M94" s="71"/>
    </row>
    <row r="95" spans="1:13" ht="15" thickBot="1" x14ac:dyDescent="0.4">
      <c r="A95" s="29"/>
      <c r="B95" s="30"/>
      <c r="C95" s="154"/>
      <c r="D95" s="155"/>
      <c r="E95" s="33"/>
      <c r="F95" s="55"/>
      <c r="G95" s="56"/>
      <c r="H95" s="33"/>
      <c r="I95" s="59" t="s">
        <v>244</v>
      </c>
      <c r="J95" s="69"/>
      <c r="K95" s="105"/>
      <c r="L95" s="106"/>
      <c r="M95" s="71"/>
    </row>
    <row r="96" spans="1:13" x14ac:dyDescent="0.35">
      <c r="A96" s="29"/>
      <c r="B96" s="30"/>
      <c r="C96" s="148" t="s">
        <v>72</v>
      </c>
      <c r="D96" s="149"/>
      <c r="E96" s="19" t="s">
        <v>246</v>
      </c>
      <c r="F96" s="42"/>
      <c r="G96" s="43"/>
      <c r="H96" s="19">
        <v>5</v>
      </c>
      <c r="I96" s="67" t="s">
        <v>82</v>
      </c>
      <c r="J96" s="68">
        <f>0.46/10^6</f>
        <v>4.6000000000000004E-7</v>
      </c>
      <c r="K96" s="105"/>
      <c r="L96" s="106"/>
      <c r="M96" s="71"/>
    </row>
    <row r="97" spans="1:13" ht="15" thickBot="1" x14ac:dyDescent="0.4">
      <c r="A97" s="29"/>
      <c r="B97" s="33"/>
      <c r="C97" s="154"/>
      <c r="D97" s="155"/>
      <c r="E97" s="33"/>
      <c r="F97" s="55"/>
      <c r="G97" s="56"/>
      <c r="H97" s="33"/>
      <c r="I97" s="59" t="s">
        <v>244</v>
      </c>
      <c r="J97" s="69"/>
      <c r="K97" s="109"/>
      <c r="L97" s="110"/>
      <c r="M97" s="69"/>
    </row>
    <row r="98" spans="1:13" x14ac:dyDescent="0.35">
      <c r="A98" s="29"/>
      <c r="B98" s="19" t="s">
        <v>88</v>
      </c>
      <c r="C98" s="148" t="s">
        <v>65</v>
      </c>
      <c r="D98" s="149"/>
      <c r="E98" s="19" t="s">
        <v>89</v>
      </c>
      <c r="F98" s="42"/>
      <c r="G98" s="43"/>
      <c r="H98" s="19">
        <v>5</v>
      </c>
      <c r="I98" s="67" t="s">
        <v>90</v>
      </c>
      <c r="J98" s="68">
        <f>2.65/10^6</f>
        <v>2.65E-6</v>
      </c>
      <c r="K98" s="102">
        <f>SUM(J98:J107)</f>
        <v>4.6199999999999998E-6</v>
      </c>
      <c r="L98" s="103"/>
      <c r="M98" s="68">
        <v>2</v>
      </c>
    </row>
    <row r="99" spans="1:13" ht="15" thickBot="1" x14ac:dyDescent="0.4">
      <c r="A99" s="29"/>
      <c r="B99" s="30"/>
      <c r="C99" s="154"/>
      <c r="D99" s="155"/>
      <c r="E99" s="33"/>
      <c r="F99" s="55"/>
      <c r="G99" s="56"/>
      <c r="H99" s="33"/>
      <c r="I99" s="59" t="s">
        <v>247</v>
      </c>
      <c r="J99" s="69"/>
      <c r="K99" s="105"/>
      <c r="L99" s="106"/>
      <c r="M99" s="71"/>
    </row>
    <row r="100" spans="1:13" ht="159" customHeight="1" x14ac:dyDescent="0.35">
      <c r="A100" s="29"/>
      <c r="B100" s="30"/>
      <c r="C100" s="148" t="s">
        <v>68</v>
      </c>
      <c r="D100" s="149"/>
      <c r="E100" s="67" t="s">
        <v>92</v>
      </c>
      <c r="F100" s="22"/>
      <c r="G100" s="23"/>
      <c r="H100" s="19">
        <v>5</v>
      </c>
      <c r="I100" s="67" t="s">
        <v>93</v>
      </c>
      <c r="J100" s="68">
        <f>0.68/10^6</f>
        <v>6.8000000000000005E-7</v>
      </c>
      <c r="K100" s="105"/>
      <c r="L100" s="106"/>
      <c r="M100" s="71"/>
    </row>
    <row r="101" spans="1:13" ht="43.5" x14ac:dyDescent="0.35">
      <c r="A101" s="29"/>
      <c r="B101" s="30"/>
      <c r="C101" s="151"/>
      <c r="D101" s="152"/>
      <c r="E101" s="74" t="s">
        <v>248</v>
      </c>
      <c r="F101" s="72"/>
      <c r="G101" s="73"/>
      <c r="H101" s="30"/>
      <c r="I101" s="67" t="s">
        <v>247</v>
      </c>
      <c r="J101" s="71"/>
      <c r="K101" s="105"/>
      <c r="L101" s="106"/>
      <c r="M101" s="71"/>
    </row>
    <row r="102" spans="1:13" ht="29" x14ac:dyDescent="0.35">
      <c r="A102" s="29"/>
      <c r="B102" s="30"/>
      <c r="C102" s="151"/>
      <c r="D102" s="152"/>
      <c r="E102" s="74" t="s">
        <v>249</v>
      </c>
      <c r="F102" s="72"/>
      <c r="G102" s="73"/>
      <c r="H102" s="30"/>
      <c r="I102" s="67"/>
      <c r="J102" s="71"/>
      <c r="K102" s="105"/>
      <c r="L102" s="106"/>
      <c r="M102" s="71"/>
    </row>
    <row r="103" spans="1:13" ht="29.5" thickBot="1" x14ac:dyDescent="0.4">
      <c r="A103" s="29"/>
      <c r="B103" s="30"/>
      <c r="C103" s="154"/>
      <c r="D103" s="155"/>
      <c r="E103" s="75" t="s">
        <v>250</v>
      </c>
      <c r="F103" s="34"/>
      <c r="G103" s="35"/>
      <c r="H103" s="33"/>
      <c r="I103" s="59"/>
      <c r="J103" s="69"/>
      <c r="K103" s="105"/>
      <c r="L103" s="106"/>
      <c r="M103" s="71"/>
    </row>
    <row r="104" spans="1:13" x14ac:dyDescent="0.35">
      <c r="A104" s="29"/>
      <c r="B104" s="30"/>
      <c r="C104" s="148" t="s">
        <v>72</v>
      </c>
      <c r="D104" s="149"/>
      <c r="E104" s="67" t="s">
        <v>96</v>
      </c>
      <c r="F104" s="22"/>
      <c r="G104" s="23"/>
      <c r="H104" s="19">
        <v>5</v>
      </c>
      <c r="I104" s="67" t="s">
        <v>97</v>
      </c>
      <c r="J104" s="68">
        <f>1.29/10^6</f>
        <v>1.2899999999999999E-6</v>
      </c>
      <c r="K104" s="105"/>
      <c r="L104" s="106"/>
      <c r="M104" s="71"/>
    </row>
    <row r="105" spans="1:13" x14ac:dyDescent="0.35">
      <c r="A105" s="29"/>
      <c r="B105" s="30"/>
      <c r="C105" s="151"/>
      <c r="D105" s="152"/>
      <c r="E105" s="67"/>
      <c r="F105" s="72"/>
      <c r="G105" s="73"/>
      <c r="H105" s="30"/>
      <c r="I105" s="67" t="s">
        <v>251</v>
      </c>
      <c r="J105" s="71"/>
      <c r="K105" s="105"/>
      <c r="L105" s="106"/>
      <c r="M105" s="71"/>
    </row>
    <row r="106" spans="1:13" ht="43.5" x14ac:dyDescent="0.35">
      <c r="A106" s="29"/>
      <c r="B106" s="30"/>
      <c r="C106" s="151"/>
      <c r="D106" s="152"/>
      <c r="E106" s="74" t="s">
        <v>252</v>
      </c>
      <c r="F106" s="72"/>
      <c r="G106" s="73"/>
      <c r="H106" s="30"/>
      <c r="I106" s="67"/>
      <c r="J106" s="71"/>
      <c r="K106" s="105"/>
      <c r="L106" s="106"/>
      <c r="M106" s="71"/>
    </row>
    <row r="107" spans="1:13" ht="43" customHeight="1" thickBot="1" x14ac:dyDescent="0.4">
      <c r="A107" s="10"/>
      <c r="B107" s="33"/>
      <c r="C107" s="154"/>
      <c r="D107" s="155"/>
      <c r="E107" s="75" t="s">
        <v>253</v>
      </c>
      <c r="F107" s="34"/>
      <c r="G107" s="35"/>
      <c r="H107" s="33"/>
      <c r="I107" s="59"/>
      <c r="J107" s="69"/>
      <c r="K107" s="109"/>
      <c r="L107" s="110"/>
      <c r="M107" s="69"/>
    </row>
    <row r="108" spans="1:13" ht="15" thickBot="1" x14ac:dyDescent="0.4">
      <c r="A108" s="6" t="s">
        <v>254</v>
      </c>
      <c r="B108" s="19" t="s">
        <v>28</v>
      </c>
      <c r="C108" s="146" t="s">
        <v>101</v>
      </c>
      <c r="D108" s="147"/>
      <c r="E108" s="59" t="s">
        <v>180</v>
      </c>
      <c r="F108" s="62" t="s">
        <v>181</v>
      </c>
      <c r="G108" s="63"/>
      <c r="H108" s="37">
        <v>10</v>
      </c>
      <c r="I108" s="37" t="s">
        <v>103</v>
      </c>
      <c r="J108" s="84">
        <f>12.45/10^6</f>
        <v>1.2449999999999999E-5</v>
      </c>
      <c r="K108" s="102">
        <f>SUM(J108:J114)</f>
        <v>6.3650000000000002E-5</v>
      </c>
      <c r="L108" s="103"/>
      <c r="M108" s="68">
        <v>3</v>
      </c>
    </row>
    <row r="109" spans="1:13" ht="15" thickBot="1" x14ac:dyDescent="0.4">
      <c r="A109" s="119"/>
      <c r="B109" s="33"/>
      <c r="C109" s="146" t="s">
        <v>104</v>
      </c>
      <c r="D109" s="147"/>
      <c r="E109" s="59" t="s">
        <v>38</v>
      </c>
      <c r="F109" s="62"/>
      <c r="G109" s="63"/>
      <c r="H109" s="37">
        <v>8</v>
      </c>
      <c r="I109" s="37" t="s">
        <v>105</v>
      </c>
      <c r="J109" s="84">
        <f>24.22/10^6</f>
        <v>2.4219999999999999E-5</v>
      </c>
      <c r="K109" s="105"/>
      <c r="L109" s="106"/>
      <c r="M109" s="71"/>
    </row>
    <row r="110" spans="1:13" ht="29.5" thickBot="1" x14ac:dyDescent="0.4">
      <c r="A110" s="119"/>
      <c r="B110" s="59" t="s">
        <v>30</v>
      </c>
      <c r="C110" s="146" t="s">
        <v>21</v>
      </c>
      <c r="D110" s="147"/>
      <c r="E110" s="59" t="s">
        <v>255</v>
      </c>
      <c r="F110" s="76" t="s">
        <v>256</v>
      </c>
      <c r="G110" s="77"/>
      <c r="H110" s="37">
        <v>7</v>
      </c>
      <c r="I110" s="37" t="s">
        <v>107</v>
      </c>
      <c r="J110" s="84">
        <f>3.02/10^6</f>
        <v>3.0199999999999999E-6</v>
      </c>
      <c r="K110" s="105"/>
      <c r="L110" s="106"/>
      <c r="M110" s="71"/>
    </row>
    <row r="111" spans="1:13" x14ac:dyDescent="0.35">
      <c r="A111" s="119"/>
      <c r="B111" s="19" t="s">
        <v>33</v>
      </c>
      <c r="C111" s="148" t="s">
        <v>34</v>
      </c>
      <c r="D111" s="149"/>
      <c r="E111" s="67" t="s">
        <v>35</v>
      </c>
      <c r="F111" s="22" t="s">
        <v>36</v>
      </c>
      <c r="G111" s="23"/>
      <c r="H111" s="24">
        <v>3</v>
      </c>
      <c r="I111" s="24" t="s">
        <v>108</v>
      </c>
      <c r="J111" s="26">
        <f>11.36/10^6</f>
        <v>1.136E-5</v>
      </c>
      <c r="K111" s="105"/>
      <c r="L111" s="106"/>
      <c r="M111" s="71"/>
    </row>
    <row r="112" spans="1:13" ht="15" thickBot="1" x14ac:dyDescent="0.4">
      <c r="A112" s="119"/>
      <c r="B112" s="30"/>
      <c r="C112" s="154"/>
      <c r="D112" s="155"/>
      <c r="E112" s="59" t="s">
        <v>109</v>
      </c>
      <c r="F112" s="34"/>
      <c r="G112" s="35"/>
      <c r="H112" s="36"/>
      <c r="I112" s="36"/>
      <c r="J112" s="38"/>
      <c r="K112" s="105"/>
      <c r="L112" s="106"/>
      <c r="M112" s="71"/>
    </row>
    <row r="113" spans="1:13" ht="101.15" customHeight="1" thickBot="1" x14ac:dyDescent="0.4">
      <c r="A113" s="119"/>
      <c r="B113" s="33"/>
      <c r="C113" s="146" t="s">
        <v>39</v>
      </c>
      <c r="D113" s="147"/>
      <c r="E113" s="59" t="s">
        <v>257</v>
      </c>
      <c r="F113" s="65" t="s">
        <v>256</v>
      </c>
      <c r="G113" s="66"/>
      <c r="H113" s="37">
        <v>6</v>
      </c>
      <c r="I113" s="37" t="s">
        <v>111</v>
      </c>
      <c r="J113" s="84">
        <f>6.52/10^6</f>
        <v>6.5199999999999994E-6</v>
      </c>
      <c r="K113" s="105"/>
      <c r="L113" s="106"/>
      <c r="M113" s="71"/>
    </row>
    <row r="114" spans="1:13" ht="29.5" thickBot="1" x14ac:dyDescent="0.4">
      <c r="A114" s="15"/>
      <c r="B114" s="59" t="s">
        <v>41</v>
      </c>
      <c r="C114" s="146" t="s">
        <v>39</v>
      </c>
      <c r="D114" s="147"/>
      <c r="E114" s="59" t="s">
        <v>257</v>
      </c>
      <c r="F114" s="76" t="s">
        <v>256</v>
      </c>
      <c r="G114" s="77"/>
      <c r="H114" s="37">
        <v>6</v>
      </c>
      <c r="I114" s="37" t="s">
        <v>113</v>
      </c>
      <c r="J114" s="84">
        <f>6.08/10^6</f>
        <v>6.0800000000000002E-6</v>
      </c>
      <c r="K114" s="109"/>
      <c r="L114" s="110"/>
      <c r="M114" s="69"/>
    </row>
    <row r="115" spans="1:13" ht="101.15" customHeight="1" thickBot="1" x14ac:dyDescent="0.4">
      <c r="A115" s="119" t="s">
        <v>114</v>
      </c>
      <c r="B115" s="19" t="s">
        <v>114</v>
      </c>
      <c r="C115" s="146" t="s">
        <v>34</v>
      </c>
      <c r="D115" s="147"/>
      <c r="E115" s="59" t="s">
        <v>115</v>
      </c>
      <c r="F115" s="62"/>
      <c r="G115" s="63"/>
      <c r="H115" s="37">
        <v>5</v>
      </c>
      <c r="I115" s="25" t="s">
        <v>116</v>
      </c>
      <c r="J115" s="26">
        <f>1/(14.2012*10^6)</f>
        <v>7.0416584513984728E-8</v>
      </c>
      <c r="K115" s="102">
        <f>J115</f>
        <v>7.0416584513984728E-8</v>
      </c>
      <c r="L115" s="103"/>
      <c r="M115" s="68">
        <v>1</v>
      </c>
    </row>
    <row r="116" spans="1:13" x14ac:dyDescent="0.35">
      <c r="A116" s="119"/>
      <c r="B116" s="30"/>
      <c r="C116" s="20" t="s">
        <v>117</v>
      </c>
      <c r="D116" s="21"/>
      <c r="E116" s="19" t="s">
        <v>118</v>
      </c>
      <c r="F116" s="22"/>
      <c r="G116" s="23"/>
      <c r="H116" s="24">
        <v>7</v>
      </c>
      <c r="I116" s="25" t="s">
        <v>258</v>
      </c>
      <c r="J116" s="41"/>
      <c r="K116" s="105"/>
      <c r="L116" s="106"/>
      <c r="M116" s="71"/>
    </row>
    <row r="117" spans="1:13" ht="86.5" customHeight="1" thickBot="1" x14ac:dyDescent="0.4">
      <c r="A117" s="119"/>
      <c r="B117" s="30"/>
      <c r="C117" s="31"/>
      <c r="D117" s="32"/>
      <c r="E117" s="33"/>
      <c r="F117" s="34"/>
      <c r="G117" s="35"/>
      <c r="H117" s="36"/>
      <c r="I117" s="25" t="s">
        <v>120</v>
      </c>
      <c r="J117" s="41"/>
      <c r="K117" s="105"/>
      <c r="L117" s="106"/>
      <c r="M117" s="71"/>
    </row>
    <row r="118" spans="1:13" ht="44.25" customHeight="1" thickBot="1" x14ac:dyDescent="0.4">
      <c r="A118" s="119"/>
      <c r="B118" s="33"/>
      <c r="C118" s="146" t="s">
        <v>52</v>
      </c>
      <c r="D118" s="147"/>
      <c r="E118" s="59" t="s">
        <v>121</v>
      </c>
      <c r="F118" s="62"/>
      <c r="G118" s="63"/>
      <c r="H118" s="37">
        <v>5</v>
      </c>
      <c r="I118" s="37"/>
      <c r="J118" s="38"/>
      <c r="K118" s="109"/>
      <c r="L118" s="110"/>
      <c r="M118" s="69"/>
    </row>
    <row r="119" spans="1:13" ht="57" customHeight="1" thickBot="1" x14ac:dyDescent="0.4">
      <c r="A119" s="6" t="s">
        <v>130</v>
      </c>
      <c r="B119" s="19" t="s">
        <v>131</v>
      </c>
      <c r="C119" s="144" t="s">
        <v>158</v>
      </c>
      <c r="D119" s="145"/>
      <c r="E119" s="98" t="s">
        <v>133</v>
      </c>
      <c r="F119" s="99"/>
      <c r="G119" s="100"/>
      <c r="H119" s="64">
        <v>4</v>
      </c>
      <c r="I119" s="101" t="s">
        <v>134</v>
      </c>
      <c r="J119" s="64">
        <f>1.36/10^6</f>
        <v>1.3600000000000001E-6</v>
      </c>
      <c r="K119" s="102">
        <f>SUM(J119:J122)</f>
        <v>1.1589999999999999E-5</v>
      </c>
      <c r="L119" s="103"/>
      <c r="M119" s="68">
        <v>2</v>
      </c>
    </row>
    <row r="120" spans="1:13" ht="51.75" customHeight="1" thickBot="1" x14ac:dyDescent="0.4">
      <c r="A120" s="119"/>
      <c r="B120" s="30"/>
      <c r="C120" s="144" t="s">
        <v>160</v>
      </c>
      <c r="D120" s="145"/>
      <c r="E120" s="104" t="s">
        <v>136</v>
      </c>
      <c r="F120" s="99"/>
      <c r="G120" s="100"/>
      <c r="H120" s="64">
        <v>4</v>
      </c>
      <c r="I120" s="101" t="s">
        <v>137</v>
      </c>
      <c r="J120" s="64">
        <f>2.36/10^6</f>
        <v>2.3599999999999999E-6</v>
      </c>
      <c r="K120" s="105"/>
      <c r="L120" s="106"/>
      <c r="M120" s="71"/>
    </row>
    <row r="121" spans="1:13" ht="30.75" customHeight="1" thickBot="1" x14ac:dyDescent="0.4">
      <c r="A121" s="119"/>
      <c r="B121" s="30"/>
      <c r="C121" s="180" t="s">
        <v>138</v>
      </c>
      <c r="D121" s="181"/>
      <c r="E121" s="98" t="s">
        <v>175</v>
      </c>
      <c r="F121" s="99"/>
      <c r="G121" s="100"/>
      <c r="H121" s="64">
        <v>4</v>
      </c>
      <c r="I121" s="101" t="s">
        <v>139</v>
      </c>
      <c r="J121" s="64">
        <f>1.91/10^6</f>
        <v>1.9099999999999999E-6</v>
      </c>
      <c r="K121" s="105"/>
      <c r="L121" s="106"/>
      <c r="M121" s="71"/>
    </row>
    <row r="122" spans="1:13" ht="15" thickBot="1" x14ac:dyDescent="0.4">
      <c r="A122" s="119"/>
      <c r="B122" s="33"/>
      <c r="C122" s="180" t="s">
        <v>140</v>
      </c>
      <c r="D122" s="181"/>
      <c r="E122" s="98" t="s">
        <v>141</v>
      </c>
      <c r="F122" s="99"/>
      <c r="G122" s="100"/>
      <c r="H122" s="64">
        <v>4</v>
      </c>
      <c r="I122" s="64" t="s">
        <v>142</v>
      </c>
      <c r="J122" s="64">
        <f>5.96/10^6</f>
        <v>5.9599999999999997E-6</v>
      </c>
      <c r="K122" s="109"/>
      <c r="L122" s="110"/>
      <c r="M122" s="69"/>
    </row>
    <row r="123" spans="1:13" ht="30.75" customHeight="1" thickBot="1" x14ac:dyDescent="0.4">
      <c r="A123" s="119"/>
      <c r="B123" s="19" t="s">
        <v>143</v>
      </c>
      <c r="C123" s="144" t="s">
        <v>158</v>
      </c>
      <c r="D123" s="145"/>
      <c r="E123" s="98" t="s">
        <v>133</v>
      </c>
      <c r="F123" s="99"/>
      <c r="G123" s="100"/>
      <c r="H123" s="64">
        <v>4</v>
      </c>
      <c r="I123" s="64" t="s">
        <v>144</v>
      </c>
      <c r="J123" s="64">
        <f>2.41/10^6</f>
        <v>2.4100000000000002E-6</v>
      </c>
      <c r="K123" s="102">
        <f>SUM(J123:J126)</f>
        <v>1.5679999999999999E-5</v>
      </c>
      <c r="L123" s="103"/>
      <c r="M123" s="68">
        <v>2</v>
      </c>
    </row>
    <row r="124" spans="1:13" ht="60.75" customHeight="1" thickBot="1" x14ac:dyDescent="0.4">
      <c r="A124" s="119"/>
      <c r="B124" s="30"/>
      <c r="C124" s="144" t="s">
        <v>160</v>
      </c>
      <c r="D124" s="145"/>
      <c r="E124" s="104" t="s">
        <v>136</v>
      </c>
      <c r="F124" s="99"/>
      <c r="G124" s="100"/>
      <c r="H124" s="64">
        <v>4</v>
      </c>
      <c r="I124" s="64" t="s">
        <v>145</v>
      </c>
      <c r="J124" s="64">
        <f>5.18/10^6</f>
        <v>5.1799999999999995E-6</v>
      </c>
      <c r="K124" s="105"/>
      <c r="L124" s="106"/>
      <c r="M124" s="71"/>
    </row>
    <row r="125" spans="1:13" ht="46.5" customHeight="1" thickBot="1" x14ac:dyDescent="0.4">
      <c r="A125" s="119"/>
      <c r="B125" s="30"/>
      <c r="C125" s="180" t="s">
        <v>138</v>
      </c>
      <c r="D125" s="181"/>
      <c r="E125" s="98" t="s">
        <v>102</v>
      </c>
      <c r="F125" s="82"/>
      <c r="G125" s="83"/>
      <c r="H125" s="64">
        <v>10</v>
      </c>
      <c r="I125" s="64" t="s">
        <v>146</v>
      </c>
      <c r="J125" s="64">
        <f>(1.54+0.28)/10^6</f>
        <v>1.8200000000000002E-6</v>
      </c>
      <c r="K125" s="105"/>
      <c r="L125" s="106"/>
      <c r="M125" s="71"/>
    </row>
    <row r="126" spans="1:13" ht="28.5" customHeight="1" thickBot="1" x14ac:dyDescent="0.4">
      <c r="A126" s="119"/>
      <c r="B126" s="33"/>
      <c r="C126" s="180" t="s">
        <v>140</v>
      </c>
      <c r="D126" s="181"/>
      <c r="E126" s="98" t="s">
        <v>141</v>
      </c>
      <c r="F126" s="99"/>
      <c r="G126" s="100"/>
      <c r="H126" s="64">
        <v>4</v>
      </c>
      <c r="I126" s="64" t="s">
        <v>147</v>
      </c>
      <c r="J126" s="64">
        <f>6.27/10^6</f>
        <v>6.2699999999999993E-6</v>
      </c>
      <c r="K126" s="109"/>
      <c r="L126" s="110"/>
      <c r="M126" s="69"/>
    </row>
    <row r="127" spans="1:13" ht="34.5" customHeight="1" thickBot="1" x14ac:dyDescent="0.4">
      <c r="A127" s="119"/>
      <c r="B127" s="19" t="s">
        <v>148</v>
      </c>
      <c r="C127" s="144" t="s">
        <v>158</v>
      </c>
      <c r="D127" s="145"/>
      <c r="E127" s="98" t="s">
        <v>149</v>
      </c>
      <c r="F127" s="82"/>
      <c r="G127" s="83"/>
      <c r="H127" s="64">
        <v>4</v>
      </c>
      <c r="I127" s="64" t="s">
        <v>150</v>
      </c>
      <c r="J127" s="64">
        <f>3.81/10^6</f>
        <v>3.8099999999999999E-6</v>
      </c>
      <c r="K127" s="102">
        <f>SUM(J127:J130)</f>
        <v>7.0849999999999991E-6</v>
      </c>
      <c r="L127" s="111"/>
      <c r="M127" s="68">
        <v>1</v>
      </c>
    </row>
    <row r="128" spans="1:13" ht="30" customHeight="1" thickBot="1" x14ac:dyDescent="0.4">
      <c r="A128" s="119"/>
      <c r="B128" s="30"/>
      <c r="C128" s="144" t="s">
        <v>160</v>
      </c>
      <c r="D128" s="145"/>
      <c r="E128" s="104" t="s">
        <v>151</v>
      </c>
      <c r="F128" s="99"/>
      <c r="G128" s="100"/>
      <c r="H128" s="64">
        <v>4</v>
      </c>
      <c r="I128" s="64" t="s">
        <v>152</v>
      </c>
      <c r="J128" s="64">
        <f>3.03/10^6</f>
        <v>3.0299999999999998E-6</v>
      </c>
      <c r="K128" s="105"/>
      <c r="L128" s="182"/>
      <c r="M128" s="71"/>
    </row>
    <row r="129" spans="1:13" ht="30.75" customHeight="1" thickBot="1" x14ac:dyDescent="0.4">
      <c r="A129" s="119"/>
      <c r="B129" s="30"/>
      <c r="C129" s="180" t="s">
        <v>138</v>
      </c>
      <c r="D129" s="181"/>
      <c r="E129" s="98" t="s">
        <v>259</v>
      </c>
      <c r="F129" s="99"/>
      <c r="G129" s="100"/>
      <c r="H129" s="64">
        <v>4</v>
      </c>
      <c r="I129" s="64" t="s">
        <v>154</v>
      </c>
      <c r="J129" s="64">
        <f>(0.14*0.25)/10^6</f>
        <v>3.5000000000000002E-8</v>
      </c>
      <c r="K129" s="105"/>
      <c r="L129" s="182"/>
      <c r="M129" s="71"/>
    </row>
    <row r="130" spans="1:13" ht="15" customHeight="1" thickBot="1" x14ac:dyDescent="0.4">
      <c r="A130" s="119"/>
      <c r="B130" s="33"/>
      <c r="C130" s="180" t="s">
        <v>140</v>
      </c>
      <c r="D130" s="181"/>
      <c r="E130" s="104" t="s">
        <v>155</v>
      </c>
      <c r="F130" s="82"/>
      <c r="G130" s="83"/>
      <c r="H130" s="64">
        <v>4</v>
      </c>
      <c r="I130" s="64" t="s">
        <v>156</v>
      </c>
      <c r="J130" s="64">
        <f>0.21/10^6</f>
        <v>2.1E-7</v>
      </c>
      <c r="K130" s="109"/>
      <c r="L130" s="113"/>
      <c r="M130" s="69"/>
    </row>
    <row r="131" spans="1:13" ht="30.75" customHeight="1" thickBot="1" x14ac:dyDescent="0.4">
      <c r="A131" s="119"/>
      <c r="B131" s="19" t="s">
        <v>157</v>
      </c>
      <c r="C131" s="144" t="s">
        <v>158</v>
      </c>
      <c r="D131" s="145"/>
      <c r="E131" s="98" t="s">
        <v>149</v>
      </c>
      <c r="F131" s="82"/>
      <c r="G131" s="83"/>
      <c r="H131" s="64">
        <v>4</v>
      </c>
      <c r="I131" s="64" t="s">
        <v>159</v>
      </c>
      <c r="J131" s="64">
        <f>4.29/10^6</f>
        <v>4.2900000000000004E-6</v>
      </c>
      <c r="K131" s="102">
        <f>SUM(J131:J134)</f>
        <v>1.394E-5</v>
      </c>
      <c r="L131" s="103"/>
      <c r="M131" s="68">
        <v>2</v>
      </c>
    </row>
    <row r="132" spans="1:13" ht="30" customHeight="1" thickBot="1" x14ac:dyDescent="0.4">
      <c r="A132" s="119"/>
      <c r="B132" s="30"/>
      <c r="C132" s="144" t="s">
        <v>160</v>
      </c>
      <c r="D132" s="145"/>
      <c r="E132" s="104" t="s">
        <v>151</v>
      </c>
      <c r="F132" s="99"/>
      <c r="G132" s="100"/>
      <c r="H132" s="64">
        <v>4</v>
      </c>
      <c r="I132" s="64" t="s">
        <v>161</v>
      </c>
      <c r="J132" s="64">
        <f>8.52/10^6</f>
        <v>8.5199999999999997E-6</v>
      </c>
      <c r="K132" s="105"/>
      <c r="L132" s="106"/>
      <c r="M132" s="71"/>
    </row>
    <row r="133" spans="1:13" ht="15" thickBot="1" x14ac:dyDescent="0.4">
      <c r="A133" s="119"/>
      <c r="B133" s="30"/>
      <c r="C133" s="180" t="s">
        <v>138</v>
      </c>
      <c r="D133" s="181"/>
      <c r="E133" s="98" t="s">
        <v>259</v>
      </c>
      <c r="F133" s="99"/>
      <c r="G133" s="100"/>
      <c r="H133" s="64">
        <v>10</v>
      </c>
      <c r="I133" s="64" t="s">
        <v>163</v>
      </c>
      <c r="J133" s="64">
        <f>0.39/10^6</f>
        <v>3.9000000000000002E-7</v>
      </c>
      <c r="K133" s="105"/>
      <c r="L133" s="106"/>
      <c r="M133" s="71"/>
    </row>
    <row r="134" spans="1:13" ht="15" customHeight="1" thickBot="1" x14ac:dyDescent="0.4">
      <c r="A134" s="119"/>
      <c r="B134" s="33"/>
      <c r="C134" s="180" t="s">
        <v>140</v>
      </c>
      <c r="D134" s="181"/>
      <c r="E134" s="104" t="s">
        <v>155</v>
      </c>
      <c r="F134" s="82"/>
      <c r="G134" s="83"/>
      <c r="H134" s="64">
        <v>4</v>
      </c>
      <c r="I134" s="64" t="s">
        <v>164</v>
      </c>
      <c r="J134" s="64">
        <f>0.74/10^6</f>
        <v>7.4000000000000001E-7</v>
      </c>
      <c r="K134" s="109"/>
      <c r="L134" s="110"/>
      <c r="M134" s="69"/>
    </row>
    <row r="135" spans="1:13" ht="43.5" customHeight="1" thickBot="1" x14ac:dyDescent="0.4">
      <c r="A135" s="119"/>
      <c r="B135" s="19" t="s">
        <v>165</v>
      </c>
      <c r="C135" s="144" t="s">
        <v>158</v>
      </c>
      <c r="D135" s="145"/>
      <c r="E135" s="101" t="s">
        <v>166</v>
      </c>
      <c r="F135" s="65"/>
      <c r="G135" s="66"/>
      <c r="H135" s="101">
        <v>8</v>
      </c>
      <c r="I135" s="114" t="s">
        <v>167</v>
      </c>
      <c r="J135" s="98">
        <f>0.82/10^6</f>
        <v>8.1999999999999998E-7</v>
      </c>
      <c r="K135" s="102">
        <f>SUM(J135:J137)</f>
        <v>1.9699999999999998E-6</v>
      </c>
      <c r="L135" s="103"/>
      <c r="M135" s="68">
        <v>3</v>
      </c>
    </row>
    <row r="136" spans="1:13" x14ac:dyDescent="0.35">
      <c r="A136" s="119"/>
      <c r="B136" s="30"/>
      <c r="C136" s="134" t="s">
        <v>16</v>
      </c>
      <c r="D136" s="135"/>
      <c r="E136" s="67" t="s">
        <v>168</v>
      </c>
      <c r="F136" s="42"/>
      <c r="G136" s="43"/>
      <c r="H136" s="19">
        <v>10</v>
      </c>
      <c r="I136" s="19" t="s">
        <v>169</v>
      </c>
      <c r="J136" s="68">
        <f>1.15/10^6</f>
        <v>1.15E-6</v>
      </c>
      <c r="K136" s="105"/>
      <c r="L136" s="106"/>
      <c r="M136" s="71"/>
    </row>
    <row r="137" spans="1:13" ht="21.75" customHeight="1" thickBot="1" x14ac:dyDescent="0.4">
      <c r="A137" s="15"/>
      <c r="B137" s="33"/>
      <c r="C137" s="136"/>
      <c r="D137" s="137"/>
      <c r="E137" s="59" t="s">
        <v>170</v>
      </c>
      <c r="F137" s="55"/>
      <c r="G137" s="56"/>
      <c r="H137" s="33"/>
      <c r="I137" s="33"/>
      <c r="J137" s="69"/>
      <c r="K137" s="109"/>
      <c r="L137" s="110"/>
      <c r="M137" s="69"/>
    </row>
    <row r="141" spans="1:13" ht="48" customHeight="1" x14ac:dyDescent="0.35"/>
    <row r="142" spans="1:13" ht="15" customHeight="1" x14ac:dyDescent="0.35"/>
  </sheetData>
  <mergeCells count="321">
    <mergeCell ref="M135:M137"/>
    <mergeCell ref="C136:D137"/>
    <mergeCell ref="F136:G137"/>
    <mergeCell ref="H136:H137"/>
    <mergeCell ref="I136:I137"/>
    <mergeCell ref="J136:J137"/>
    <mergeCell ref="C134:D134"/>
    <mergeCell ref="F134:G134"/>
    <mergeCell ref="B135:B137"/>
    <mergeCell ref="C135:D135"/>
    <mergeCell ref="F135:G135"/>
    <mergeCell ref="K135:L137"/>
    <mergeCell ref="F130:G130"/>
    <mergeCell ref="B131:B134"/>
    <mergeCell ref="C131:D131"/>
    <mergeCell ref="F131:G131"/>
    <mergeCell ref="K131:L134"/>
    <mergeCell ref="M131:M134"/>
    <mergeCell ref="C132:D132"/>
    <mergeCell ref="F132:G132"/>
    <mergeCell ref="C133:D133"/>
    <mergeCell ref="F133:G133"/>
    <mergeCell ref="B127:B130"/>
    <mergeCell ref="C127:D127"/>
    <mergeCell ref="F127:G127"/>
    <mergeCell ref="K127:L130"/>
    <mergeCell ref="M127:M130"/>
    <mergeCell ref="C128:D128"/>
    <mergeCell ref="F128:G128"/>
    <mergeCell ref="C129:D129"/>
    <mergeCell ref="F129:G129"/>
    <mergeCell ref="C130:D130"/>
    <mergeCell ref="M123:M126"/>
    <mergeCell ref="C124:D124"/>
    <mergeCell ref="F124:G124"/>
    <mergeCell ref="C125:D125"/>
    <mergeCell ref="F125:G125"/>
    <mergeCell ref="C126:D126"/>
    <mergeCell ref="F126:G126"/>
    <mergeCell ref="C122:D122"/>
    <mergeCell ref="F122:G122"/>
    <mergeCell ref="B123:B126"/>
    <mergeCell ref="C123:D123"/>
    <mergeCell ref="F123:G123"/>
    <mergeCell ref="K123:L126"/>
    <mergeCell ref="A119:A137"/>
    <mergeCell ref="B119:B122"/>
    <mergeCell ref="C119:D119"/>
    <mergeCell ref="F119:G119"/>
    <mergeCell ref="K119:L122"/>
    <mergeCell ref="M119:M122"/>
    <mergeCell ref="C120:D120"/>
    <mergeCell ref="F120:G120"/>
    <mergeCell ref="C121:D121"/>
    <mergeCell ref="F121:G121"/>
    <mergeCell ref="J115:J118"/>
    <mergeCell ref="K115:L118"/>
    <mergeCell ref="M115:M118"/>
    <mergeCell ref="C116:D117"/>
    <mergeCell ref="E116:E117"/>
    <mergeCell ref="F116:G117"/>
    <mergeCell ref="H116:H117"/>
    <mergeCell ref="C118:D118"/>
    <mergeCell ref="F118:G118"/>
    <mergeCell ref="C114:D114"/>
    <mergeCell ref="F114:G114"/>
    <mergeCell ref="A115:A118"/>
    <mergeCell ref="B115:B118"/>
    <mergeCell ref="C115:D115"/>
    <mergeCell ref="F115:G115"/>
    <mergeCell ref="B111:B113"/>
    <mergeCell ref="C111:D112"/>
    <mergeCell ref="F111:G112"/>
    <mergeCell ref="H111:H112"/>
    <mergeCell ref="I111:I112"/>
    <mergeCell ref="J111:J112"/>
    <mergeCell ref="C113:D113"/>
    <mergeCell ref="F113:G113"/>
    <mergeCell ref="A108:A114"/>
    <mergeCell ref="B108:B109"/>
    <mergeCell ref="C108:D108"/>
    <mergeCell ref="F108:G108"/>
    <mergeCell ref="K108:L114"/>
    <mergeCell ref="M108:M114"/>
    <mergeCell ref="C109:D109"/>
    <mergeCell ref="F109:G109"/>
    <mergeCell ref="C110:D110"/>
    <mergeCell ref="F110:G110"/>
    <mergeCell ref="K98:L107"/>
    <mergeCell ref="M98:M107"/>
    <mergeCell ref="C100:D103"/>
    <mergeCell ref="F100:G103"/>
    <mergeCell ref="H100:H103"/>
    <mergeCell ref="J100:J103"/>
    <mergeCell ref="C104:D107"/>
    <mergeCell ref="F104:G107"/>
    <mergeCell ref="H104:H107"/>
    <mergeCell ref="J104:J107"/>
    <mergeCell ref="B98:B107"/>
    <mergeCell ref="C98:D99"/>
    <mergeCell ref="E98:E99"/>
    <mergeCell ref="F98:G99"/>
    <mergeCell ref="H98:H99"/>
    <mergeCell ref="J98:J99"/>
    <mergeCell ref="K92:L97"/>
    <mergeCell ref="M92:M97"/>
    <mergeCell ref="C94:D95"/>
    <mergeCell ref="E94:E95"/>
    <mergeCell ref="F94:G95"/>
    <mergeCell ref="H94:H95"/>
    <mergeCell ref="J94:J95"/>
    <mergeCell ref="C96:D97"/>
    <mergeCell ref="E96:E97"/>
    <mergeCell ref="F96:G97"/>
    <mergeCell ref="B92:B97"/>
    <mergeCell ref="C92:D93"/>
    <mergeCell ref="E92:E93"/>
    <mergeCell ref="F92:G93"/>
    <mergeCell ref="H92:H93"/>
    <mergeCell ref="J92:J93"/>
    <mergeCell ref="H96:H97"/>
    <mergeCell ref="J96:J97"/>
    <mergeCell ref="K88:L91"/>
    <mergeCell ref="M88:M91"/>
    <mergeCell ref="C89:D90"/>
    <mergeCell ref="F89:G90"/>
    <mergeCell ref="H89:H90"/>
    <mergeCell ref="C91:D91"/>
    <mergeCell ref="F91:G91"/>
    <mergeCell ref="K82:L87"/>
    <mergeCell ref="M82:M87"/>
    <mergeCell ref="C83:D85"/>
    <mergeCell ref="F83:G85"/>
    <mergeCell ref="H83:H85"/>
    <mergeCell ref="C86:D87"/>
    <mergeCell ref="E86:E87"/>
    <mergeCell ref="F86:G87"/>
    <mergeCell ref="H86:H87"/>
    <mergeCell ref="J79:J81"/>
    <mergeCell ref="A82:A107"/>
    <mergeCell ref="B82:B87"/>
    <mergeCell ref="C82:D82"/>
    <mergeCell ref="F82:G82"/>
    <mergeCell ref="J82:J87"/>
    <mergeCell ref="B88:B91"/>
    <mergeCell ref="C88:D88"/>
    <mergeCell ref="F88:G88"/>
    <mergeCell ref="J88:J91"/>
    <mergeCell ref="C79:D81"/>
    <mergeCell ref="E79:E81"/>
    <mergeCell ref="F79:F81"/>
    <mergeCell ref="G79:G81"/>
    <mergeCell ref="H79:H81"/>
    <mergeCell ref="I79:I81"/>
    <mergeCell ref="I71:I72"/>
    <mergeCell ref="J71:J72"/>
    <mergeCell ref="K71:L81"/>
    <mergeCell ref="M71:M81"/>
    <mergeCell ref="C73:D78"/>
    <mergeCell ref="E73:E78"/>
    <mergeCell ref="F73:G78"/>
    <mergeCell ref="H73:H78"/>
    <mergeCell ref="I73:I78"/>
    <mergeCell ref="J73:J78"/>
    <mergeCell ref="I68:I69"/>
    <mergeCell ref="J68:J69"/>
    <mergeCell ref="C70:D70"/>
    <mergeCell ref="F70:G70"/>
    <mergeCell ref="A71:A81"/>
    <mergeCell ref="B71:B81"/>
    <mergeCell ref="C71:D72"/>
    <mergeCell ref="E71:E72"/>
    <mergeCell ref="F71:G72"/>
    <mergeCell ref="H71:H72"/>
    <mergeCell ref="I54:I65"/>
    <mergeCell ref="J54:J65"/>
    <mergeCell ref="F66:G66"/>
    <mergeCell ref="B67:B70"/>
    <mergeCell ref="C67:D67"/>
    <mergeCell ref="F67:G67"/>
    <mergeCell ref="C68:D69"/>
    <mergeCell ref="E68:E69"/>
    <mergeCell ref="F68:G69"/>
    <mergeCell ref="H68:H69"/>
    <mergeCell ref="H50:H52"/>
    <mergeCell ref="I50:I52"/>
    <mergeCell ref="J50:J52"/>
    <mergeCell ref="C53:D53"/>
    <mergeCell ref="F53:G53"/>
    <mergeCell ref="B54:B66"/>
    <mergeCell ref="C54:D66"/>
    <mergeCell ref="E54:E65"/>
    <mergeCell ref="F54:G65"/>
    <mergeCell ref="H54:H65"/>
    <mergeCell ref="C43:C44"/>
    <mergeCell ref="C45:C46"/>
    <mergeCell ref="C47:C48"/>
    <mergeCell ref="C49:D49"/>
    <mergeCell ref="F49:G49"/>
    <mergeCell ref="B50:B52"/>
    <mergeCell ref="C50:D52"/>
    <mergeCell ref="E50:E52"/>
    <mergeCell ref="F50:G52"/>
    <mergeCell ref="J37:J39"/>
    <mergeCell ref="K37:L70"/>
    <mergeCell ref="M37:M70"/>
    <mergeCell ref="E38:E39"/>
    <mergeCell ref="D40:D48"/>
    <mergeCell ref="E40:E48"/>
    <mergeCell ref="F40:G48"/>
    <mergeCell ref="H40:H48"/>
    <mergeCell ref="I40:I48"/>
    <mergeCell ref="J40:J48"/>
    <mergeCell ref="E34:E36"/>
    <mergeCell ref="F34:G36"/>
    <mergeCell ref="H34:H36"/>
    <mergeCell ref="I34:I36"/>
    <mergeCell ref="A37:A70"/>
    <mergeCell ref="B37:B48"/>
    <mergeCell ref="C37:D39"/>
    <mergeCell ref="F37:G39"/>
    <mergeCell ref="H37:H39"/>
    <mergeCell ref="I37:I39"/>
    <mergeCell ref="F29:G30"/>
    <mergeCell ref="H29:H30"/>
    <mergeCell ref="B31:B36"/>
    <mergeCell ref="C31:D31"/>
    <mergeCell ref="F31:G31"/>
    <mergeCell ref="C32:D32"/>
    <mergeCell ref="F32:G32"/>
    <mergeCell ref="C33:D33"/>
    <mergeCell ref="F33:G33"/>
    <mergeCell ref="C34:D36"/>
    <mergeCell ref="A27:A36"/>
    <mergeCell ref="B27:B30"/>
    <mergeCell ref="C27:D27"/>
    <mergeCell ref="F27:G27"/>
    <mergeCell ref="K27:L36"/>
    <mergeCell ref="M27:M36"/>
    <mergeCell ref="C28:D28"/>
    <mergeCell ref="F28:G28"/>
    <mergeCell ref="C29:D30"/>
    <mergeCell ref="E29:E30"/>
    <mergeCell ref="F23:G23"/>
    <mergeCell ref="C24:D26"/>
    <mergeCell ref="E24:E26"/>
    <mergeCell ref="F24:G26"/>
    <mergeCell ref="H24:H26"/>
    <mergeCell ref="I24:I26"/>
    <mergeCell ref="M17:M26"/>
    <mergeCell ref="C18:D18"/>
    <mergeCell ref="F18:G18"/>
    <mergeCell ref="C19:D20"/>
    <mergeCell ref="E19:E20"/>
    <mergeCell ref="F19:G20"/>
    <mergeCell ref="H19:H20"/>
    <mergeCell ref="C21:D21"/>
    <mergeCell ref="F21:G21"/>
    <mergeCell ref="J21:J23"/>
    <mergeCell ref="A17:A26"/>
    <mergeCell ref="B17:B20"/>
    <mergeCell ref="C17:D17"/>
    <mergeCell ref="F17:G17"/>
    <mergeCell ref="J17:J20"/>
    <mergeCell ref="K17:L26"/>
    <mergeCell ref="B21:B26"/>
    <mergeCell ref="C22:D22"/>
    <mergeCell ref="F22:G22"/>
    <mergeCell ref="C23:D23"/>
    <mergeCell ref="H13:H14"/>
    <mergeCell ref="I13:I14"/>
    <mergeCell ref="J13:J14"/>
    <mergeCell ref="C15:D15"/>
    <mergeCell ref="F15:G15"/>
    <mergeCell ref="C16:D16"/>
    <mergeCell ref="F16:G16"/>
    <mergeCell ref="A11:A16"/>
    <mergeCell ref="C11:D11"/>
    <mergeCell ref="F11:G11"/>
    <mergeCell ref="K11:L16"/>
    <mergeCell ref="M11:M16"/>
    <mergeCell ref="C12:D12"/>
    <mergeCell ref="F12:G12"/>
    <mergeCell ref="B13:B15"/>
    <mergeCell ref="C13:D14"/>
    <mergeCell ref="F13:G14"/>
    <mergeCell ref="H7:H8"/>
    <mergeCell ref="I7:I8"/>
    <mergeCell ref="J7:J8"/>
    <mergeCell ref="K7:L10"/>
    <mergeCell ref="M7:M10"/>
    <mergeCell ref="C9:D10"/>
    <mergeCell ref="E9:E10"/>
    <mergeCell ref="F9:G10"/>
    <mergeCell ref="H9:H10"/>
    <mergeCell ref="J9:J10"/>
    <mergeCell ref="J3:J4"/>
    <mergeCell ref="K3:L6"/>
    <mergeCell ref="M3:M6"/>
    <mergeCell ref="C5:D6"/>
    <mergeCell ref="E5:E6"/>
    <mergeCell ref="F5:G6"/>
    <mergeCell ref="H5:H6"/>
    <mergeCell ref="J5:J6"/>
    <mergeCell ref="A3:A10"/>
    <mergeCell ref="B3:B6"/>
    <mergeCell ref="C3:D4"/>
    <mergeCell ref="E3:E4"/>
    <mergeCell ref="F3:G4"/>
    <mergeCell ref="H3:H4"/>
    <mergeCell ref="B7:B10"/>
    <mergeCell ref="C7:D8"/>
    <mergeCell ref="E7:E8"/>
    <mergeCell ref="F7:G8"/>
    <mergeCell ref="A1:A2"/>
    <mergeCell ref="B1:B2"/>
    <mergeCell ref="C1:D2"/>
    <mergeCell ref="E1:E2"/>
    <mergeCell ref="F1:G1"/>
    <mergeCell ref="H1:H2"/>
    <mergeCell ref="F2:G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5" sqref="E5:E10"/>
    </sheetView>
  </sheetViews>
  <sheetFormatPr baseColWidth="10" defaultRowHeight="14.5" x14ac:dyDescent="0.35"/>
  <cols>
    <col min="1" max="1" width="16.26953125" bestFit="1" customWidth="1"/>
    <col min="2" max="2" width="25" customWidth="1"/>
    <col min="3" max="3" width="37.26953125" style="116" customWidth="1"/>
    <col min="4" max="4" width="11.1796875" style="116" customWidth="1"/>
    <col min="5" max="5" width="101" bestFit="1" customWidth="1"/>
    <col min="7" max="7" width="29.26953125" style="118" customWidth="1"/>
    <col min="8" max="8" width="10.90625" style="118"/>
    <col min="9" max="9" width="20.54296875" style="118" customWidth="1"/>
    <col min="10" max="10" width="12" style="118" bestFit="1" customWidth="1"/>
    <col min="11" max="13" width="10.90625" style="118"/>
  </cols>
  <sheetData>
    <row r="1" spans="1:13" x14ac:dyDescent="0.35">
      <c r="A1" s="1" t="s">
        <v>0</v>
      </c>
      <c r="B1" s="1" t="s">
        <v>1</v>
      </c>
      <c r="C1" s="2" t="s">
        <v>2</v>
      </c>
      <c r="D1" s="3"/>
      <c r="E1" s="1" t="s">
        <v>3</v>
      </c>
      <c r="F1" s="4" t="s">
        <v>4</v>
      </c>
      <c r="G1" s="5"/>
      <c r="H1" s="6" t="s">
        <v>5</v>
      </c>
      <c r="I1" s="7" t="s">
        <v>6</v>
      </c>
      <c r="J1" s="8" t="s">
        <v>7</v>
      </c>
      <c r="K1" s="8" t="s">
        <v>8</v>
      </c>
      <c r="L1" s="9"/>
      <c r="M1" s="8" t="s">
        <v>9</v>
      </c>
    </row>
    <row r="2" spans="1:13" ht="15" thickBot="1" x14ac:dyDescent="0.4">
      <c r="A2" s="10"/>
      <c r="B2" s="10"/>
      <c r="C2" s="11"/>
      <c r="D2" s="12"/>
      <c r="E2" s="10"/>
      <c r="F2" s="13" t="s">
        <v>10</v>
      </c>
      <c r="G2" s="14"/>
      <c r="H2" s="15"/>
      <c r="I2" s="16" t="s">
        <v>11</v>
      </c>
      <c r="J2" s="17" t="s">
        <v>12</v>
      </c>
      <c r="K2" s="17" t="s">
        <v>13</v>
      </c>
      <c r="L2" s="18"/>
      <c r="M2" s="17"/>
    </row>
    <row r="3" spans="1:13" ht="15" customHeight="1" x14ac:dyDescent="0.35">
      <c r="A3" s="1" t="s">
        <v>14</v>
      </c>
      <c r="B3" s="19" t="s">
        <v>15</v>
      </c>
      <c r="C3" s="20" t="s">
        <v>16</v>
      </c>
      <c r="D3" s="21"/>
      <c r="E3" s="19" t="s">
        <v>17</v>
      </c>
      <c r="F3" s="22" t="s">
        <v>18</v>
      </c>
      <c r="G3" s="23"/>
      <c r="H3" s="24">
        <v>8</v>
      </c>
      <c r="I3" s="25" t="s">
        <v>19</v>
      </c>
      <c r="J3" s="26">
        <f>2.87/10^6</f>
        <v>2.8700000000000001E-6</v>
      </c>
      <c r="K3" s="27">
        <f>SUM(J3:J5)</f>
        <v>3.8549999999999995E-6</v>
      </c>
      <c r="L3" s="28"/>
      <c r="M3" s="26">
        <v>2</v>
      </c>
    </row>
    <row r="4" spans="1:13" ht="15" thickBot="1" x14ac:dyDescent="0.4">
      <c r="A4" s="29"/>
      <c r="B4" s="30"/>
      <c r="C4" s="31"/>
      <c r="D4" s="32"/>
      <c r="E4" s="33"/>
      <c r="F4" s="34"/>
      <c r="G4" s="35"/>
      <c r="H4" s="36"/>
      <c r="I4" s="37" t="s">
        <v>20</v>
      </c>
      <c r="J4" s="38"/>
      <c r="K4" s="39"/>
      <c r="L4" s="40"/>
      <c r="M4" s="41"/>
    </row>
    <row r="5" spans="1:13" ht="15" customHeight="1" x14ac:dyDescent="0.35">
      <c r="A5" s="29"/>
      <c r="B5" s="30"/>
      <c r="C5" s="20" t="s">
        <v>21</v>
      </c>
      <c r="D5" s="21"/>
      <c r="E5" s="19" t="s">
        <v>17</v>
      </c>
      <c r="F5" s="42" t="s">
        <v>18</v>
      </c>
      <c r="G5" s="43"/>
      <c r="H5" s="24">
        <v>10</v>
      </c>
      <c r="I5" s="25" t="s">
        <v>22</v>
      </c>
      <c r="J5" s="26">
        <f>0.985/10^6</f>
        <v>9.8499999999999989E-7</v>
      </c>
      <c r="K5" s="39"/>
      <c r="L5" s="40"/>
      <c r="M5" s="41"/>
    </row>
    <row r="6" spans="1:13" ht="15" thickBot="1" x14ac:dyDescent="0.4">
      <c r="A6" s="29"/>
      <c r="B6" s="30"/>
      <c r="C6" s="44"/>
      <c r="D6" s="45"/>
      <c r="E6" s="30"/>
      <c r="F6" s="46"/>
      <c r="G6" s="47"/>
      <c r="H6" s="48"/>
      <c r="I6" s="37" t="s">
        <v>23</v>
      </c>
      <c r="J6" s="38"/>
      <c r="K6" s="49"/>
      <c r="L6" s="50"/>
      <c r="M6" s="38"/>
    </row>
    <row r="7" spans="1:13" ht="15" customHeight="1" x14ac:dyDescent="0.35">
      <c r="A7" s="29"/>
      <c r="B7" s="30"/>
      <c r="C7" s="44"/>
      <c r="D7" s="45"/>
      <c r="E7" s="30"/>
      <c r="F7" s="46"/>
      <c r="G7" s="47"/>
      <c r="H7" s="48"/>
      <c r="I7" s="24" t="s">
        <v>24</v>
      </c>
      <c r="J7" s="26">
        <f>0.0636/10^6</f>
        <v>6.36E-8</v>
      </c>
      <c r="K7" s="51">
        <f>SUM(J7:J10)</f>
        <v>6.36E-8</v>
      </c>
      <c r="L7" s="52"/>
      <c r="M7" s="26">
        <v>1</v>
      </c>
    </row>
    <row r="8" spans="1:13" ht="15" thickBot="1" x14ac:dyDescent="0.4">
      <c r="A8" s="29"/>
      <c r="B8" s="30"/>
      <c r="C8" s="44"/>
      <c r="D8" s="45"/>
      <c r="E8" s="30"/>
      <c r="F8" s="46"/>
      <c r="G8" s="47"/>
      <c r="H8" s="48"/>
      <c r="I8" s="36"/>
      <c r="J8" s="38"/>
      <c r="K8" s="53"/>
      <c r="L8" s="54"/>
      <c r="M8" s="41"/>
    </row>
    <row r="9" spans="1:13" ht="15" customHeight="1" x14ac:dyDescent="0.35">
      <c r="A9" s="29"/>
      <c r="B9" s="30"/>
      <c r="C9" s="44"/>
      <c r="D9" s="45"/>
      <c r="E9" s="30"/>
      <c r="F9" s="46"/>
      <c r="G9" s="47"/>
      <c r="H9" s="48"/>
      <c r="I9" s="25" t="s">
        <v>25</v>
      </c>
      <c r="J9" s="26" t="s">
        <v>25</v>
      </c>
      <c r="K9" s="53"/>
      <c r="L9" s="54"/>
      <c r="M9" s="41"/>
    </row>
    <row r="10" spans="1:13" ht="15" thickBot="1" x14ac:dyDescent="0.4">
      <c r="A10" s="10"/>
      <c r="B10" s="33"/>
      <c r="C10" s="31"/>
      <c r="D10" s="32"/>
      <c r="E10" s="33"/>
      <c r="F10" s="55"/>
      <c r="G10" s="56"/>
      <c r="H10" s="36"/>
      <c r="I10" s="37" t="s">
        <v>26</v>
      </c>
      <c r="J10" s="38"/>
      <c r="K10" s="57"/>
      <c r="L10" s="58"/>
      <c r="M10" s="38"/>
    </row>
    <row r="11" spans="1:13" ht="15" thickBot="1" x14ac:dyDescent="0.4">
      <c r="A11" s="1" t="s">
        <v>27</v>
      </c>
      <c r="B11" s="59" t="s">
        <v>28</v>
      </c>
      <c r="C11" s="60" t="s">
        <v>16</v>
      </c>
      <c r="D11" s="61"/>
      <c r="E11" s="59" t="s">
        <v>17</v>
      </c>
      <c r="F11" s="62" t="s">
        <v>18</v>
      </c>
      <c r="G11" s="63"/>
      <c r="H11" s="37">
        <v>8</v>
      </c>
      <c r="I11" s="59" t="s">
        <v>29</v>
      </c>
      <c r="J11" s="64">
        <f>7.07/10^6</f>
        <v>7.0700000000000001E-6</v>
      </c>
      <c r="K11" s="27">
        <f>SUM(J11:J16)</f>
        <v>3.3089999999999997E-5</v>
      </c>
      <c r="L11" s="28"/>
      <c r="M11" s="26">
        <v>2</v>
      </c>
    </row>
    <row r="12" spans="1:13" ht="15" thickBot="1" x14ac:dyDescent="0.4">
      <c r="A12" s="29"/>
      <c r="B12" s="59" t="s">
        <v>30</v>
      </c>
      <c r="C12" s="60" t="s">
        <v>21</v>
      </c>
      <c r="D12" s="61"/>
      <c r="E12" s="59" t="s">
        <v>31</v>
      </c>
      <c r="F12" s="65"/>
      <c r="G12" s="66"/>
      <c r="H12" s="37">
        <v>7</v>
      </c>
      <c r="I12" s="59" t="s">
        <v>32</v>
      </c>
      <c r="J12" s="64">
        <f>1.24/10^6</f>
        <v>1.24E-6</v>
      </c>
      <c r="K12" s="39"/>
      <c r="L12" s="40"/>
      <c r="M12" s="41"/>
    </row>
    <row r="13" spans="1:13" x14ac:dyDescent="0.35">
      <c r="A13" s="29"/>
      <c r="B13" s="19" t="s">
        <v>33</v>
      </c>
      <c r="C13" s="20" t="s">
        <v>34</v>
      </c>
      <c r="D13" s="21"/>
      <c r="E13" s="67" t="s">
        <v>35</v>
      </c>
      <c r="F13" s="22" t="s">
        <v>36</v>
      </c>
      <c r="G13" s="23"/>
      <c r="H13" s="24">
        <v>3</v>
      </c>
      <c r="I13" s="19" t="s">
        <v>37</v>
      </c>
      <c r="J13" s="68">
        <f>0.6/10^6</f>
        <v>5.9999999999999997E-7</v>
      </c>
      <c r="K13" s="39"/>
      <c r="L13" s="40"/>
      <c r="M13" s="41"/>
    </row>
    <row r="14" spans="1:13" ht="15" thickBot="1" x14ac:dyDescent="0.4">
      <c r="A14" s="29"/>
      <c r="B14" s="30"/>
      <c r="C14" s="31"/>
      <c r="D14" s="32"/>
      <c r="E14" s="59" t="s">
        <v>38</v>
      </c>
      <c r="F14" s="34"/>
      <c r="G14" s="35"/>
      <c r="H14" s="36"/>
      <c r="I14" s="33"/>
      <c r="J14" s="69"/>
      <c r="K14" s="39"/>
      <c r="L14" s="40"/>
      <c r="M14" s="41"/>
    </row>
    <row r="15" spans="1:13" ht="15" thickBot="1" x14ac:dyDescent="0.4">
      <c r="A15" s="29"/>
      <c r="B15" s="33"/>
      <c r="C15" s="60" t="s">
        <v>39</v>
      </c>
      <c r="D15" s="61"/>
      <c r="E15" s="59" t="s">
        <v>31</v>
      </c>
      <c r="F15" s="65"/>
      <c r="G15" s="66"/>
      <c r="H15" s="37">
        <v>6</v>
      </c>
      <c r="I15" s="59" t="s">
        <v>40</v>
      </c>
      <c r="J15" s="64">
        <f>19.07/10^6</f>
        <v>1.9069999999999999E-5</v>
      </c>
      <c r="K15" s="39"/>
      <c r="L15" s="40"/>
      <c r="M15" s="41"/>
    </row>
    <row r="16" spans="1:13" ht="15" thickBot="1" x14ac:dyDescent="0.4">
      <c r="A16" s="10"/>
      <c r="B16" s="59" t="s">
        <v>41</v>
      </c>
      <c r="C16" s="60" t="s">
        <v>39</v>
      </c>
      <c r="D16" s="61"/>
      <c r="E16" s="59" t="s">
        <v>31</v>
      </c>
      <c r="F16" s="65"/>
      <c r="G16" s="66"/>
      <c r="H16" s="37">
        <v>6</v>
      </c>
      <c r="I16" s="59" t="s">
        <v>42</v>
      </c>
      <c r="J16" s="64">
        <f>5.11/10^6</f>
        <v>5.1100000000000002E-6</v>
      </c>
      <c r="K16" s="49"/>
      <c r="L16" s="50"/>
      <c r="M16" s="38"/>
    </row>
    <row r="17" spans="1:13" ht="15" thickBot="1" x14ac:dyDescent="0.4">
      <c r="A17" s="1" t="s">
        <v>43</v>
      </c>
      <c r="B17" s="19" t="s">
        <v>44</v>
      </c>
      <c r="C17" s="60" t="s">
        <v>45</v>
      </c>
      <c r="D17" s="61"/>
      <c r="E17" s="59" t="s">
        <v>17</v>
      </c>
      <c r="F17" s="62" t="s">
        <v>18</v>
      </c>
      <c r="G17" s="63"/>
      <c r="H17" s="37">
        <v>8</v>
      </c>
      <c r="I17" s="25" t="s">
        <v>46</v>
      </c>
      <c r="J17" s="26">
        <f>0.57/10^6</f>
        <v>5.6999999999999994E-7</v>
      </c>
      <c r="K17" s="27">
        <f>SUM(J17:J26)</f>
        <v>1.4249999999999999E-6</v>
      </c>
      <c r="L17" s="28"/>
      <c r="M17" s="26">
        <v>2</v>
      </c>
    </row>
    <row r="18" spans="1:13" ht="15" thickBot="1" x14ac:dyDescent="0.4">
      <c r="A18" s="29"/>
      <c r="B18" s="30"/>
      <c r="C18" s="60" t="s">
        <v>16</v>
      </c>
      <c r="D18" s="61"/>
      <c r="E18" s="59" t="s">
        <v>17</v>
      </c>
      <c r="F18" s="62" t="s">
        <v>18</v>
      </c>
      <c r="G18" s="63"/>
      <c r="H18" s="37">
        <v>8</v>
      </c>
      <c r="I18" s="25" t="s">
        <v>47</v>
      </c>
      <c r="J18" s="41"/>
      <c r="K18" s="39"/>
      <c r="L18" s="40"/>
      <c r="M18" s="41"/>
    </row>
    <row r="19" spans="1:13" x14ac:dyDescent="0.35">
      <c r="A19" s="29"/>
      <c r="B19" s="30"/>
      <c r="C19" s="20" t="s">
        <v>21</v>
      </c>
      <c r="D19" s="21"/>
      <c r="E19" s="19" t="s">
        <v>17</v>
      </c>
      <c r="F19" s="42" t="s">
        <v>18</v>
      </c>
      <c r="G19" s="43"/>
      <c r="H19" s="24">
        <v>10</v>
      </c>
      <c r="I19" s="25"/>
      <c r="J19" s="41"/>
      <c r="K19" s="39"/>
      <c r="L19" s="40"/>
      <c r="M19" s="41"/>
    </row>
    <row r="20" spans="1:13" ht="15" thickBot="1" x14ac:dyDescent="0.4">
      <c r="A20" s="29"/>
      <c r="B20" s="33"/>
      <c r="C20" s="31"/>
      <c r="D20" s="32"/>
      <c r="E20" s="33"/>
      <c r="F20" s="55"/>
      <c r="G20" s="56"/>
      <c r="H20" s="36"/>
      <c r="I20" s="37"/>
      <c r="J20" s="38"/>
      <c r="K20" s="39"/>
      <c r="L20" s="40"/>
      <c r="M20" s="41"/>
    </row>
    <row r="21" spans="1:13" ht="15" thickBot="1" x14ac:dyDescent="0.4">
      <c r="A21" s="29"/>
      <c r="B21" s="19" t="s">
        <v>48</v>
      </c>
      <c r="C21" s="60" t="s">
        <v>16</v>
      </c>
      <c r="D21" s="61"/>
      <c r="E21" s="59" t="s">
        <v>17</v>
      </c>
      <c r="F21" s="62" t="s">
        <v>18</v>
      </c>
      <c r="G21" s="63"/>
      <c r="H21" s="37">
        <v>8</v>
      </c>
      <c r="I21" s="25" t="s">
        <v>49</v>
      </c>
      <c r="J21" s="26">
        <f>0.855/10^6</f>
        <v>8.5499999999999997E-7</v>
      </c>
      <c r="K21" s="39"/>
      <c r="L21" s="40"/>
      <c r="M21" s="41"/>
    </row>
    <row r="22" spans="1:13" ht="15" thickBot="1" x14ac:dyDescent="0.4">
      <c r="A22" s="29"/>
      <c r="B22" s="30"/>
      <c r="C22" s="60" t="s">
        <v>21</v>
      </c>
      <c r="D22" s="61"/>
      <c r="E22" s="59" t="s">
        <v>17</v>
      </c>
      <c r="F22" s="65" t="s">
        <v>18</v>
      </c>
      <c r="G22" s="66"/>
      <c r="H22" s="37">
        <v>10</v>
      </c>
      <c r="I22" s="25" t="s">
        <v>50</v>
      </c>
      <c r="J22" s="41"/>
      <c r="K22" s="39"/>
      <c r="L22" s="40"/>
      <c r="M22" s="41"/>
    </row>
    <row r="23" spans="1:13" ht="15" thickBot="1" x14ac:dyDescent="0.4">
      <c r="A23" s="29"/>
      <c r="B23" s="30"/>
      <c r="C23" s="60" t="s">
        <v>51</v>
      </c>
      <c r="D23" s="61"/>
      <c r="E23" s="59" t="s">
        <v>31</v>
      </c>
      <c r="F23" s="62"/>
      <c r="G23" s="63"/>
      <c r="H23" s="37">
        <v>5</v>
      </c>
      <c r="I23" s="37"/>
      <c r="J23" s="38"/>
      <c r="K23" s="39"/>
      <c r="L23" s="40"/>
      <c r="M23" s="41"/>
    </row>
    <row r="24" spans="1:13" x14ac:dyDescent="0.35">
      <c r="A24" s="29"/>
      <c r="B24" s="30"/>
      <c r="C24" s="20" t="s">
        <v>52</v>
      </c>
      <c r="D24" s="21"/>
      <c r="E24" s="19" t="s">
        <v>31</v>
      </c>
      <c r="F24" s="42"/>
      <c r="G24" s="43"/>
      <c r="H24" s="24">
        <v>6</v>
      </c>
      <c r="I24" s="24" t="s">
        <v>24</v>
      </c>
      <c r="J24" s="8"/>
      <c r="K24" s="39"/>
      <c r="L24" s="40"/>
      <c r="M24" s="41"/>
    </row>
    <row r="25" spans="1:13" x14ac:dyDescent="0.35">
      <c r="A25" s="29"/>
      <c r="B25" s="30"/>
      <c r="C25" s="44"/>
      <c r="D25" s="45"/>
      <c r="E25" s="30"/>
      <c r="F25" s="46"/>
      <c r="G25" s="47"/>
      <c r="H25" s="48"/>
      <c r="I25" s="48"/>
      <c r="J25" s="70"/>
      <c r="K25" s="39"/>
      <c r="L25" s="40"/>
      <c r="M25" s="41"/>
    </row>
    <row r="26" spans="1:13" ht="15" thickBot="1" x14ac:dyDescent="0.4">
      <c r="A26" s="10"/>
      <c r="B26" s="33"/>
      <c r="C26" s="31"/>
      <c r="D26" s="32"/>
      <c r="E26" s="33"/>
      <c r="F26" s="55"/>
      <c r="G26" s="56"/>
      <c r="H26" s="36"/>
      <c r="I26" s="36"/>
      <c r="J26" s="70"/>
      <c r="K26" s="49"/>
      <c r="L26" s="50"/>
      <c r="M26" s="38"/>
    </row>
    <row r="27" spans="1:13" x14ac:dyDescent="0.35">
      <c r="A27" s="1" t="s">
        <v>53</v>
      </c>
      <c r="B27" s="19"/>
      <c r="C27" s="20" t="s">
        <v>52</v>
      </c>
      <c r="D27" s="21"/>
      <c r="E27" s="19" t="s">
        <v>54</v>
      </c>
      <c r="F27" s="42"/>
      <c r="G27" s="43"/>
      <c r="H27" s="24">
        <v>4</v>
      </c>
      <c r="I27" s="19" t="s">
        <v>55</v>
      </c>
      <c r="J27" s="68">
        <f>2/10^6</f>
        <v>1.9999999999999999E-6</v>
      </c>
      <c r="K27" s="27">
        <f>SUM(J27:J37)</f>
        <v>1.6170000000000003E-5</v>
      </c>
      <c r="L27" s="28"/>
      <c r="M27" s="26">
        <v>2</v>
      </c>
    </row>
    <row r="28" spans="1:13" ht="15" thickBot="1" x14ac:dyDescent="0.4">
      <c r="A28" s="29"/>
      <c r="B28" s="30"/>
      <c r="C28" s="31"/>
      <c r="D28" s="32"/>
      <c r="E28" s="33"/>
      <c r="F28" s="55"/>
      <c r="G28" s="56"/>
      <c r="H28" s="36"/>
      <c r="I28" s="33"/>
      <c r="J28" s="69"/>
      <c r="K28" s="39"/>
      <c r="L28" s="40"/>
      <c r="M28" s="41"/>
    </row>
    <row r="29" spans="1:13" x14ac:dyDescent="0.35">
      <c r="A29" s="29"/>
      <c r="B29" s="30"/>
      <c r="C29" s="20" t="s">
        <v>56</v>
      </c>
      <c r="D29" s="21"/>
      <c r="E29" s="19" t="s">
        <v>57</v>
      </c>
      <c r="F29" s="42"/>
      <c r="G29" s="43"/>
      <c r="H29" s="24">
        <v>7</v>
      </c>
      <c r="I29" s="19" t="s">
        <v>58</v>
      </c>
      <c r="J29" s="68">
        <f>4.02/10^6</f>
        <v>4.0199999999999996E-6</v>
      </c>
      <c r="K29" s="39"/>
      <c r="L29" s="40"/>
      <c r="M29" s="41"/>
    </row>
    <row r="30" spans="1:13" x14ac:dyDescent="0.35">
      <c r="A30" s="29"/>
      <c r="B30" s="30"/>
      <c r="C30" s="44"/>
      <c r="D30" s="45"/>
      <c r="E30" s="30"/>
      <c r="F30" s="46"/>
      <c r="G30" s="47"/>
      <c r="H30" s="48"/>
      <c r="I30" s="30"/>
      <c r="J30" s="71"/>
      <c r="K30" s="39"/>
      <c r="L30" s="40"/>
      <c r="M30" s="41"/>
    </row>
    <row r="31" spans="1:13" x14ac:dyDescent="0.35">
      <c r="A31" s="29"/>
      <c r="B31" s="30"/>
      <c r="C31" s="44"/>
      <c r="D31" s="45"/>
      <c r="E31" s="30"/>
      <c r="F31" s="46"/>
      <c r="G31" s="47"/>
      <c r="H31" s="48"/>
      <c r="I31" s="30"/>
      <c r="J31" s="71"/>
      <c r="K31" s="39"/>
      <c r="L31" s="40"/>
      <c r="M31" s="41"/>
    </row>
    <row r="32" spans="1:13" x14ac:dyDescent="0.35">
      <c r="A32" s="29"/>
      <c r="B32" s="30"/>
      <c r="C32" s="44"/>
      <c r="D32" s="45"/>
      <c r="E32" s="30"/>
      <c r="F32" s="46"/>
      <c r="G32" s="47"/>
      <c r="H32" s="48"/>
      <c r="I32" s="30"/>
      <c r="J32" s="71"/>
      <c r="K32" s="39"/>
      <c r="L32" s="40"/>
      <c r="M32" s="41"/>
    </row>
    <row r="33" spans="1:13" x14ac:dyDescent="0.35">
      <c r="A33" s="29"/>
      <c r="B33" s="30"/>
      <c r="C33" s="44"/>
      <c r="D33" s="45"/>
      <c r="E33" s="30"/>
      <c r="F33" s="46"/>
      <c r="G33" s="47"/>
      <c r="H33" s="48"/>
      <c r="I33" s="30"/>
      <c r="J33" s="71"/>
      <c r="K33" s="39"/>
      <c r="L33" s="40"/>
      <c r="M33" s="41"/>
    </row>
    <row r="34" spans="1:13" ht="15" thickBot="1" x14ac:dyDescent="0.4">
      <c r="A34" s="29"/>
      <c r="B34" s="30"/>
      <c r="C34" s="31"/>
      <c r="D34" s="32"/>
      <c r="E34" s="33"/>
      <c r="F34" s="55"/>
      <c r="G34" s="56"/>
      <c r="H34" s="36"/>
      <c r="I34" s="33"/>
      <c r="J34" s="69"/>
      <c r="K34" s="39"/>
      <c r="L34" s="40"/>
      <c r="M34" s="41"/>
    </row>
    <row r="35" spans="1:13" x14ac:dyDescent="0.35">
      <c r="A35" s="29"/>
      <c r="B35" s="30"/>
      <c r="C35" s="20" t="s">
        <v>59</v>
      </c>
      <c r="D35" s="21"/>
      <c r="E35" s="19" t="s">
        <v>60</v>
      </c>
      <c r="F35" s="42" t="s">
        <v>61</v>
      </c>
      <c r="G35" s="43"/>
      <c r="H35" s="24">
        <v>9</v>
      </c>
      <c r="I35" s="19" t="s">
        <v>62</v>
      </c>
      <c r="J35" s="68">
        <f>10.15/10^6</f>
        <v>1.0150000000000001E-5</v>
      </c>
      <c r="K35" s="39"/>
      <c r="L35" s="40"/>
      <c r="M35" s="41"/>
    </row>
    <row r="36" spans="1:13" x14ac:dyDescent="0.35">
      <c r="A36" s="29"/>
      <c r="B36" s="30"/>
      <c r="C36" s="44"/>
      <c r="D36" s="45"/>
      <c r="E36" s="30"/>
      <c r="F36" s="46"/>
      <c r="G36" s="47"/>
      <c r="H36" s="48"/>
      <c r="I36" s="30"/>
      <c r="J36" s="71"/>
      <c r="K36" s="39"/>
      <c r="L36" s="40"/>
      <c r="M36" s="41"/>
    </row>
    <row r="37" spans="1:13" ht="15" thickBot="1" x14ac:dyDescent="0.4">
      <c r="A37" s="10"/>
      <c r="B37" s="33"/>
      <c r="C37" s="31"/>
      <c r="D37" s="32"/>
      <c r="E37" s="33"/>
      <c r="F37" s="55"/>
      <c r="G37" s="56"/>
      <c r="H37" s="36"/>
      <c r="I37" s="33"/>
      <c r="J37" s="69"/>
      <c r="K37" s="49"/>
      <c r="L37" s="50"/>
      <c r="M37" s="38"/>
    </row>
    <row r="38" spans="1:13" ht="15" thickBot="1" x14ac:dyDescent="0.4">
      <c r="A38" s="1" t="s">
        <v>63</v>
      </c>
      <c r="B38" s="19" t="s">
        <v>64</v>
      </c>
      <c r="C38" s="60" t="s">
        <v>65</v>
      </c>
      <c r="D38" s="61"/>
      <c r="E38" s="59" t="s">
        <v>66</v>
      </c>
      <c r="F38" s="65"/>
      <c r="G38" s="66"/>
      <c r="H38" s="37">
        <v>6</v>
      </c>
      <c r="I38" s="67" t="s">
        <v>67</v>
      </c>
      <c r="J38" s="26">
        <f>2.33/10^6</f>
        <v>2.3300000000000001E-6</v>
      </c>
      <c r="K38" s="27">
        <f>SUM(J38:J43)</f>
        <v>2.3300000000000001E-6</v>
      </c>
      <c r="L38" s="28"/>
      <c r="M38" s="26">
        <v>2</v>
      </c>
    </row>
    <row r="39" spans="1:13" x14ac:dyDescent="0.35">
      <c r="A39" s="29"/>
      <c r="B39" s="30"/>
      <c r="C39" s="20" t="s">
        <v>68</v>
      </c>
      <c r="D39" s="21"/>
      <c r="E39" s="67" t="s">
        <v>69</v>
      </c>
      <c r="F39" s="22"/>
      <c r="G39" s="23"/>
      <c r="H39" s="24">
        <v>6</v>
      </c>
      <c r="I39" s="25" t="s">
        <v>70</v>
      </c>
      <c r="J39" s="41"/>
      <c r="K39" s="39"/>
      <c r="L39" s="40"/>
      <c r="M39" s="41"/>
    </row>
    <row r="40" spans="1:13" x14ac:dyDescent="0.35">
      <c r="A40" s="29"/>
      <c r="B40" s="30"/>
      <c r="C40" s="44"/>
      <c r="D40" s="45"/>
      <c r="E40" s="30" t="s">
        <v>71</v>
      </c>
      <c r="F40" s="72"/>
      <c r="G40" s="73"/>
      <c r="H40" s="48"/>
      <c r="I40" s="25"/>
      <c r="J40" s="41"/>
      <c r="K40" s="39"/>
      <c r="L40" s="40"/>
      <c r="M40" s="41"/>
    </row>
    <row r="41" spans="1:13" ht="15" thickBot="1" x14ac:dyDescent="0.4">
      <c r="A41" s="29"/>
      <c r="B41" s="30"/>
      <c r="C41" s="31"/>
      <c r="D41" s="32"/>
      <c r="E41" s="33"/>
      <c r="F41" s="34"/>
      <c r="G41" s="35"/>
      <c r="H41" s="36"/>
      <c r="I41" s="25"/>
      <c r="J41" s="41"/>
      <c r="K41" s="39"/>
      <c r="L41" s="40"/>
      <c r="M41" s="41"/>
    </row>
    <row r="42" spans="1:13" x14ac:dyDescent="0.35">
      <c r="A42" s="29"/>
      <c r="B42" s="30"/>
      <c r="C42" s="20" t="s">
        <v>72</v>
      </c>
      <c r="D42" s="21"/>
      <c r="E42" s="19" t="s">
        <v>73</v>
      </c>
      <c r="F42" s="22"/>
      <c r="G42" s="23"/>
      <c r="H42" s="24">
        <v>6</v>
      </c>
      <c r="I42" s="25"/>
      <c r="J42" s="41"/>
      <c r="K42" s="39"/>
      <c r="L42" s="40"/>
      <c r="M42" s="41"/>
    </row>
    <row r="43" spans="1:13" ht="15" thickBot="1" x14ac:dyDescent="0.4">
      <c r="A43" s="29"/>
      <c r="B43" s="33"/>
      <c r="C43" s="31"/>
      <c r="D43" s="32"/>
      <c r="E43" s="33"/>
      <c r="F43" s="34"/>
      <c r="G43" s="35"/>
      <c r="H43" s="36"/>
      <c r="I43" s="37"/>
      <c r="J43" s="38"/>
      <c r="K43" s="49"/>
      <c r="L43" s="50"/>
      <c r="M43" s="38"/>
    </row>
    <row r="44" spans="1:13" ht="15" thickBot="1" x14ac:dyDescent="0.4">
      <c r="A44" s="29"/>
      <c r="B44" s="19" t="s">
        <v>74</v>
      </c>
      <c r="C44" s="60" t="s">
        <v>65</v>
      </c>
      <c r="D44" s="61"/>
      <c r="E44" s="59" t="s">
        <v>75</v>
      </c>
      <c r="F44" s="65"/>
      <c r="G44" s="66"/>
      <c r="H44" s="37">
        <v>5</v>
      </c>
      <c r="I44" s="67" t="s">
        <v>76</v>
      </c>
      <c r="J44" s="26">
        <f>5.3/10^6</f>
        <v>5.3000000000000001E-6</v>
      </c>
      <c r="K44" s="27">
        <f>SUM(J44:J45)</f>
        <v>5.3000000000000001E-6</v>
      </c>
      <c r="L44" s="28"/>
      <c r="M44" s="26">
        <v>2</v>
      </c>
    </row>
    <row r="45" spans="1:13" x14ac:dyDescent="0.35">
      <c r="A45" s="29"/>
      <c r="B45" s="30"/>
      <c r="C45" s="20" t="s">
        <v>68</v>
      </c>
      <c r="D45" s="21"/>
      <c r="E45" s="19" t="s">
        <v>77</v>
      </c>
      <c r="F45" s="22"/>
      <c r="G45" s="23"/>
      <c r="H45" s="24">
        <v>5</v>
      </c>
      <c r="I45" s="25" t="s">
        <v>78</v>
      </c>
      <c r="J45" s="41"/>
      <c r="K45" s="39"/>
      <c r="L45" s="40"/>
      <c r="M45" s="41"/>
    </row>
    <row r="46" spans="1:13" ht="15" thickBot="1" x14ac:dyDescent="0.4">
      <c r="A46" s="29"/>
      <c r="B46" s="30"/>
      <c r="C46" s="31"/>
      <c r="D46" s="32"/>
      <c r="E46" s="33"/>
      <c r="F46" s="34"/>
      <c r="G46" s="35"/>
      <c r="H46" s="36"/>
      <c r="I46" s="25"/>
      <c r="J46" s="41"/>
      <c r="K46" s="39"/>
      <c r="L46" s="40"/>
      <c r="M46" s="41"/>
    </row>
    <row r="47" spans="1:13" ht="15" thickBot="1" x14ac:dyDescent="0.4">
      <c r="A47" s="29"/>
      <c r="B47" s="33"/>
      <c r="C47" s="60" t="s">
        <v>72</v>
      </c>
      <c r="D47" s="61"/>
      <c r="E47" s="59" t="s">
        <v>79</v>
      </c>
      <c r="F47" s="62"/>
      <c r="G47" s="63"/>
      <c r="H47" s="37">
        <v>6</v>
      </c>
      <c r="I47" s="37"/>
      <c r="J47" s="38"/>
      <c r="K47" s="49"/>
      <c r="L47" s="50"/>
      <c r="M47" s="38"/>
    </row>
    <row r="48" spans="1:13" x14ac:dyDescent="0.35">
      <c r="A48" s="29"/>
      <c r="B48" s="19" t="s">
        <v>80</v>
      </c>
      <c r="C48" s="20" t="s">
        <v>65</v>
      </c>
      <c r="D48" s="21"/>
      <c r="E48" s="19" t="s">
        <v>81</v>
      </c>
      <c r="F48" s="42"/>
      <c r="G48" s="43"/>
      <c r="H48" s="24">
        <v>5</v>
      </c>
      <c r="I48" s="67" t="s">
        <v>82</v>
      </c>
      <c r="J48" s="26">
        <f>10.46/10^6</f>
        <v>1.0460000000000001E-5</v>
      </c>
      <c r="K48" s="27">
        <f>SUM(J48:J53)</f>
        <v>2.0849999999999999E-5</v>
      </c>
      <c r="L48" s="28"/>
      <c r="M48" s="26">
        <v>2</v>
      </c>
    </row>
    <row r="49" spans="1:13" ht="15" thickBot="1" x14ac:dyDescent="0.4">
      <c r="A49" s="29"/>
      <c r="B49" s="30"/>
      <c r="C49" s="31"/>
      <c r="D49" s="32"/>
      <c r="E49" s="33"/>
      <c r="F49" s="55"/>
      <c r="G49" s="56"/>
      <c r="H49" s="36"/>
      <c r="I49" s="37" t="s">
        <v>83</v>
      </c>
      <c r="J49" s="38"/>
      <c r="K49" s="39"/>
      <c r="L49" s="40"/>
      <c r="M49" s="41"/>
    </row>
    <row r="50" spans="1:13" x14ac:dyDescent="0.35">
      <c r="A50" s="29"/>
      <c r="B50" s="30"/>
      <c r="C50" s="20" t="s">
        <v>84</v>
      </c>
      <c r="D50" s="21"/>
      <c r="E50" s="19" t="s">
        <v>85</v>
      </c>
      <c r="F50" s="42"/>
      <c r="G50" s="43"/>
      <c r="H50" s="24">
        <v>5</v>
      </c>
      <c r="I50" s="67" t="s">
        <v>86</v>
      </c>
      <c r="J50" s="26">
        <f>9.93/10^6</f>
        <v>9.9299999999999998E-6</v>
      </c>
      <c r="K50" s="39"/>
      <c r="L50" s="40"/>
      <c r="M50" s="41"/>
    </row>
    <row r="51" spans="1:13" ht="45" customHeight="1" thickBot="1" x14ac:dyDescent="0.4">
      <c r="A51" s="29"/>
      <c r="B51" s="30"/>
      <c r="C51" s="31"/>
      <c r="D51" s="32"/>
      <c r="E51" s="33"/>
      <c r="F51" s="55"/>
      <c r="G51" s="56"/>
      <c r="H51" s="36"/>
      <c r="I51" s="37" t="s">
        <v>83</v>
      </c>
      <c r="J51" s="38"/>
      <c r="K51" s="39"/>
      <c r="L51" s="40"/>
      <c r="M51" s="41"/>
    </row>
    <row r="52" spans="1:13" x14ac:dyDescent="0.35">
      <c r="A52" s="29"/>
      <c r="B52" s="30"/>
      <c r="C52" s="20" t="s">
        <v>72</v>
      </c>
      <c r="D52" s="21"/>
      <c r="E52" s="19" t="s">
        <v>87</v>
      </c>
      <c r="F52" s="42"/>
      <c r="G52" s="43"/>
      <c r="H52" s="24">
        <v>5</v>
      </c>
      <c r="I52" s="67" t="s">
        <v>82</v>
      </c>
      <c r="J52" s="26">
        <f>0.46/10^6</f>
        <v>4.6000000000000004E-7</v>
      </c>
      <c r="K52" s="39"/>
      <c r="L52" s="40"/>
      <c r="M52" s="41"/>
    </row>
    <row r="53" spans="1:13" ht="15" thickBot="1" x14ac:dyDescent="0.4">
      <c r="A53" s="29"/>
      <c r="B53" s="33"/>
      <c r="C53" s="31"/>
      <c r="D53" s="32"/>
      <c r="E53" s="33"/>
      <c r="F53" s="55"/>
      <c r="G53" s="56"/>
      <c r="H53" s="36"/>
      <c r="I53" s="37" t="s">
        <v>83</v>
      </c>
      <c r="J53" s="38"/>
      <c r="K53" s="49"/>
      <c r="L53" s="50"/>
      <c r="M53" s="38"/>
    </row>
    <row r="54" spans="1:13" x14ac:dyDescent="0.35">
      <c r="A54" s="29"/>
      <c r="B54" s="19" t="s">
        <v>88</v>
      </c>
      <c r="C54" s="20" t="s">
        <v>65</v>
      </c>
      <c r="D54" s="21"/>
      <c r="E54" s="19" t="s">
        <v>89</v>
      </c>
      <c r="F54" s="42"/>
      <c r="G54" s="43"/>
      <c r="H54" s="24">
        <v>5</v>
      </c>
      <c r="I54" s="25" t="s">
        <v>90</v>
      </c>
      <c r="J54" s="26">
        <f>2.65/10^6</f>
        <v>2.65E-6</v>
      </c>
      <c r="K54" s="27">
        <f>SUM(J54:J63)</f>
        <v>4.6199999999999998E-6</v>
      </c>
      <c r="L54" s="28"/>
      <c r="M54" s="26">
        <v>2</v>
      </c>
    </row>
    <row r="55" spans="1:13" ht="15" thickBot="1" x14ac:dyDescent="0.4">
      <c r="A55" s="29"/>
      <c r="B55" s="30"/>
      <c r="C55" s="31"/>
      <c r="D55" s="32"/>
      <c r="E55" s="33"/>
      <c r="F55" s="55"/>
      <c r="G55" s="56"/>
      <c r="H55" s="36"/>
      <c r="I55" s="37" t="s">
        <v>91</v>
      </c>
      <c r="J55" s="38"/>
      <c r="K55" s="39"/>
      <c r="L55" s="40"/>
      <c r="M55" s="41"/>
    </row>
    <row r="56" spans="1:13" x14ac:dyDescent="0.35">
      <c r="A56" s="29"/>
      <c r="B56" s="30"/>
      <c r="C56" s="20" t="s">
        <v>68</v>
      </c>
      <c r="D56" s="21"/>
      <c r="E56" s="67" t="s">
        <v>92</v>
      </c>
      <c r="F56" s="22"/>
      <c r="G56" s="23"/>
      <c r="H56" s="24">
        <v>5</v>
      </c>
      <c r="I56" s="67" t="s">
        <v>93</v>
      </c>
      <c r="J56" s="26">
        <f>0.68/10^6</f>
        <v>6.8000000000000005E-7</v>
      </c>
      <c r="K56" s="39"/>
      <c r="L56" s="40"/>
      <c r="M56" s="41"/>
    </row>
    <row r="57" spans="1:13" x14ac:dyDescent="0.35">
      <c r="A57" s="29"/>
      <c r="B57" s="30"/>
      <c r="C57" s="44"/>
      <c r="D57" s="45"/>
      <c r="E57" s="74" t="s">
        <v>94</v>
      </c>
      <c r="F57" s="72"/>
      <c r="G57" s="73"/>
      <c r="H57" s="48"/>
      <c r="I57" s="25" t="s">
        <v>91</v>
      </c>
      <c r="J57" s="41"/>
      <c r="K57" s="39"/>
      <c r="L57" s="40"/>
      <c r="M57" s="41"/>
    </row>
    <row r="58" spans="1:13" x14ac:dyDescent="0.35">
      <c r="A58" s="29"/>
      <c r="B58" s="30"/>
      <c r="C58" s="44"/>
      <c r="D58" s="45"/>
      <c r="E58" s="74" t="s">
        <v>95</v>
      </c>
      <c r="F58" s="72"/>
      <c r="G58" s="73"/>
      <c r="H58" s="48"/>
      <c r="I58" s="25"/>
      <c r="J58" s="41"/>
      <c r="K58" s="39"/>
      <c r="L58" s="40"/>
      <c r="M58" s="41"/>
    </row>
    <row r="59" spans="1:13" ht="15" thickBot="1" x14ac:dyDescent="0.4">
      <c r="A59" s="29"/>
      <c r="B59" s="30"/>
      <c r="C59" s="31"/>
      <c r="D59" s="32"/>
      <c r="E59" s="75"/>
      <c r="F59" s="34"/>
      <c r="G59" s="35"/>
      <c r="H59" s="36"/>
      <c r="I59" s="37"/>
      <c r="J59" s="38"/>
      <c r="K59" s="39"/>
      <c r="L59" s="40"/>
      <c r="M59" s="41"/>
    </row>
    <row r="60" spans="1:13" x14ac:dyDescent="0.35">
      <c r="A60" s="29"/>
      <c r="B60" s="30"/>
      <c r="C60" s="20" t="s">
        <v>72</v>
      </c>
      <c r="D60" s="21"/>
      <c r="E60" s="67" t="s">
        <v>96</v>
      </c>
      <c r="F60" s="22"/>
      <c r="G60" s="23"/>
      <c r="H60" s="24">
        <v>5</v>
      </c>
      <c r="I60" s="67" t="s">
        <v>97</v>
      </c>
      <c r="J60" s="26">
        <f>1.29/10^6</f>
        <v>1.2899999999999999E-6</v>
      </c>
      <c r="K60" s="39"/>
      <c r="L60" s="40"/>
      <c r="M60" s="41"/>
    </row>
    <row r="61" spans="1:13" x14ac:dyDescent="0.35">
      <c r="A61" s="29"/>
      <c r="B61" s="30"/>
      <c r="C61" s="44"/>
      <c r="D61" s="45"/>
      <c r="E61" s="74" t="s">
        <v>98</v>
      </c>
      <c r="F61" s="72"/>
      <c r="G61" s="73"/>
      <c r="H61" s="48"/>
      <c r="I61" s="25" t="s">
        <v>99</v>
      </c>
      <c r="J61" s="41"/>
      <c r="K61" s="39"/>
      <c r="L61" s="40"/>
      <c r="M61" s="41"/>
    </row>
    <row r="62" spans="1:13" x14ac:dyDescent="0.35">
      <c r="A62" s="29"/>
      <c r="B62" s="30"/>
      <c r="C62" s="44"/>
      <c r="D62" s="45"/>
      <c r="E62" s="74"/>
      <c r="F62" s="72"/>
      <c r="G62" s="73"/>
      <c r="H62" s="48"/>
      <c r="I62" s="25"/>
      <c r="J62" s="41"/>
      <c r="K62" s="39"/>
      <c r="L62" s="40"/>
      <c r="M62" s="41"/>
    </row>
    <row r="63" spans="1:13" ht="15" thickBot="1" x14ac:dyDescent="0.4">
      <c r="A63" s="10"/>
      <c r="B63" s="33"/>
      <c r="C63" s="31"/>
      <c r="D63" s="32"/>
      <c r="E63" s="75"/>
      <c r="F63" s="34"/>
      <c r="G63" s="35"/>
      <c r="H63" s="36"/>
      <c r="I63" s="37"/>
      <c r="J63" s="38"/>
      <c r="K63" s="49"/>
      <c r="L63" s="50"/>
      <c r="M63" s="38"/>
    </row>
    <row r="64" spans="1:13" ht="15" thickBot="1" x14ac:dyDescent="0.4">
      <c r="A64" s="6" t="s">
        <v>100</v>
      </c>
      <c r="B64" s="19" t="s">
        <v>28</v>
      </c>
      <c r="C64" s="60" t="s">
        <v>101</v>
      </c>
      <c r="D64" s="61"/>
      <c r="E64" s="59" t="s">
        <v>102</v>
      </c>
      <c r="F64" s="62"/>
      <c r="G64" s="63"/>
      <c r="H64" s="37">
        <v>10</v>
      </c>
      <c r="I64" s="37" t="s">
        <v>103</v>
      </c>
      <c r="J64" s="64">
        <f>12.45/10^6</f>
        <v>1.2449999999999999E-5</v>
      </c>
      <c r="K64" s="27">
        <f>SUM(J64:J70)</f>
        <v>6.3650000000000002E-5</v>
      </c>
      <c r="L64" s="28"/>
      <c r="M64" s="26">
        <v>3</v>
      </c>
    </row>
    <row r="65" spans="1:13" ht="15" thickBot="1" x14ac:dyDescent="0.4">
      <c r="A65" s="119"/>
      <c r="B65" s="33"/>
      <c r="C65" s="60" t="s">
        <v>104</v>
      </c>
      <c r="D65" s="61"/>
      <c r="E65" s="59" t="s">
        <v>38</v>
      </c>
      <c r="F65" s="62"/>
      <c r="G65" s="63"/>
      <c r="H65" s="37">
        <v>8</v>
      </c>
      <c r="I65" s="37" t="s">
        <v>105</v>
      </c>
      <c r="J65" s="64">
        <f>24.22/10^6</f>
        <v>2.4219999999999999E-5</v>
      </c>
      <c r="K65" s="39"/>
      <c r="L65" s="40"/>
      <c r="M65" s="41"/>
    </row>
    <row r="66" spans="1:13" ht="15" thickBot="1" x14ac:dyDescent="0.4">
      <c r="A66" s="119"/>
      <c r="B66" s="59" t="s">
        <v>30</v>
      </c>
      <c r="C66" s="60" t="s">
        <v>21</v>
      </c>
      <c r="D66" s="61"/>
      <c r="E66" s="59" t="s">
        <v>106</v>
      </c>
      <c r="F66" s="76"/>
      <c r="G66" s="77"/>
      <c r="H66" s="37">
        <v>7</v>
      </c>
      <c r="I66" s="37" t="s">
        <v>107</v>
      </c>
      <c r="J66" s="64">
        <f>3.02/10^6</f>
        <v>3.0199999999999999E-6</v>
      </c>
      <c r="K66" s="39"/>
      <c r="L66" s="40"/>
      <c r="M66" s="41"/>
    </row>
    <row r="67" spans="1:13" x14ac:dyDescent="0.35">
      <c r="A67" s="119"/>
      <c r="B67" s="19" t="s">
        <v>33</v>
      </c>
      <c r="C67" s="20" t="s">
        <v>34</v>
      </c>
      <c r="D67" s="21"/>
      <c r="E67" s="67" t="s">
        <v>35</v>
      </c>
      <c r="F67" s="22" t="s">
        <v>36</v>
      </c>
      <c r="G67" s="23"/>
      <c r="H67" s="24">
        <v>3</v>
      </c>
      <c r="I67" s="24" t="s">
        <v>108</v>
      </c>
      <c r="J67" s="68">
        <f>11.36/10^6</f>
        <v>1.136E-5</v>
      </c>
      <c r="K67" s="39"/>
      <c r="L67" s="40"/>
      <c r="M67" s="41"/>
    </row>
    <row r="68" spans="1:13" ht="15" thickBot="1" x14ac:dyDescent="0.4">
      <c r="A68" s="119"/>
      <c r="B68" s="30"/>
      <c r="C68" s="31"/>
      <c r="D68" s="32"/>
      <c r="E68" s="59" t="s">
        <v>109</v>
      </c>
      <c r="F68" s="34"/>
      <c r="G68" s="35"/>
      <c r="H68" s="36"/>
      <c r="I68" s="36"/>
      <c r="J68" s="69"/>
      <c r="K68" s="39"/>
      <c r="L68" s="40"/>
      <c r="M68" s="41"/>
    </row>
    <row r="69" spans="1:13" ht="15" thickBot="1" x14ac:dyDescent="0.4">
      <c r="A69" s="119"/>
      <c r="B69" s="33"/>
      <c r="C69" s="60" t="s">
        <v>39</v>
      </c>
      <c r="D69" s="61"/>
      <c r="E69" s="59" t="s">
        <v>110</v>
      </c>
      <c r="F69" s="65"/>
      <c r="G69" s="66"/>
      <c r="H69" s="37">
        <v>6</v>
      </c>
      <c r="I69" s="37" t="s">
        <v>111</v>
      </c>
      <c r="J69" s="64">
        <f>6.52/10^6</f>
        <v>6.5199999999999994E-6</v>
      </c>
      <c r="K69" s="39"/>
      <c r="L69" s="40"/>
      <c r="M69" s="41"/>
    </row>
    <row r="70" spans="1:13" ht="15" thickBot="1" x14ac:dyDescent="0.4">
      <c r="A70" s="15"/>
      <c r="B70" s="59" t="s">
        <v>41</v>
      </c>
      <c r="C70" s="60" t="s">
        <v>39</v>
      </c>
      <c r="D70" s="61"/>
      <c r="E70" s="59" t="s">
        <v>112</v>
      </c>
      <c r="F70" s="76"/>
      <c r="G70" s="77"/>
      <c r="H70" s="37">
        <v>6</v>
      </c>
      <c r="I70" s="37" t="s">
        <v>113</v>
      </c>
      <c r="J70" s="64">
        <f>6.08/10^6</f>
        <v>6.0800000000000002E-6</v>
      </c>
      <c r="K70" s="49"/>
      <c r="L70" s="50"/>
      <c r="M70" s="38"/>
    </row>
    <row r="71" spans="1:13" ht="15" thickBot="1" x14ac:dyDescent="0.4">
      <c r="A71" s="1" t="s">
        <v>114</v>
      </c>
      <c r="B71" s="19" t="s">
        <v>114</v>
      </c>
      <c r="C71" s="60" t="s">
        <v>34</v>
      </c>
      <c r="D71" s="61"/>
      <c r="E71" s="59" t="s">
        <v>115</v>
      </c>
      <c r="F71" s="62"/>
      <c r="G71" s="63"/>
      <c r="H71" s="37">
        <v>5</v>
      </c>
      <c r="I71" s="25" t="s">
        <v>116</v>
      </c>
      <c r="J71" s="26">
        <f>1/(14.2012*10^6)</f>
        <v>7.0416584513984728E-8</v>
      </c>
      <c r="K71" s="27">
        <f>SUM(J71:J74)</f>
        <v>7.0416584513984728E-8</v>
      </c>
      <c r="L71" s="28"/>
      <c r="M71" s="26">
        <v>1</v>
      </c>
    </row>
    <row r="72" spans="1:13" x14ac:dyDescent="0.35">
      <c r="A72" s="29"/>
      <c r="B72" s="30"/>
      <c r="C72" s="20" t="s">
        <v>117</v>
      </c>
      <c r="D72" s="21"/>
      <c r="E72" s="19" t="s">
        <v>118</v>
      </c>
      <c r="F72" s="22"/>
      <c r="G72" s="23"/>
      <c r="H72" s="24">
        <v>7</v>
      </c>
      <c r="I72" s="25" t="s">
        <v>119</v>
      </c>
      <c r="J72" s="41"/>
      <c r="K72" s="39"/>
      <c r="L72" s="40"/>
      <c r="M72" s="41"/>
    </row>
    <row r="73" spans="1:13" ht="15" thickBot="1" x14ac:dyDescent="0.4">
      <c r="A73" s="29"/>
      <c r="B73" s="30"/>
      <c r="C73" s="31"/>
      <c r="D73" s="32"/>
      <c r="E73" s="33"/>
      <c r="F73" s="34"/>
      <c r="G73" s="35"/>
      <c r="H73" s="36"/>
      <c r="I73" s="25" t="s">
        <v>120</v>
      </c>
      <c r="J73" s="41"/>
      <c r="K73" s="39"/>
      <c r="L73" s="40"/>
      <c r="M73" s="41"/>
    </row>
    <row r="74" spans="1:13" ht="15" thickBot="1" x14ac:dyDescent="0.4">
      <c r="A74" s="10"/>
      <c r="B74" s="33"/>
      <c r="C74" s="60" t="s">
        <v>52</v>
      </c>
      <c r="D74" s="61"/>
      <c r="E74" s="59" t="s">
        <v>121</v>
      </c>
      <c r="F74" s="62"/>
      <c r="G74" s="63"/>
      <c r="H74" s="37">
        <v>5</v>
      </c>
      <c r="I74" s="37"/>
      <c r="J74" s="38"/>
      <c r="K74" s="49"/>
      <c r="L74" s="50"/>
      <c r="M74" s="38"/>
    </row>
    <row r="75" spans="1:13" ht="15" thickBot="1" x14ac:dyDescent="0.4">
      <c r="A75" s="78" t="s">
        <v>122</v>
      </c>
      <c r="B75" s="68" t="s">
        <v>123</v>
      </c>
      <c r="C75" s="79" t="s">
        <v>124</v>
      </c>
      <c r="D75" s="80"/>
      <c r="E75" s="81" t="s">
        <v>38</v>
      </c>
      <c r="F75" s="82"/>
      <c r="G75" s="83"/>
      <c r="H75" s="84">
        <v>8</v>
      </c>
      <c r="I75" s="26">
        <f>J75</f>
        <v>5.7100000000000006E-5</v>
      </c>
      <c r="J75" s="26">
        <f>5.71*10^(-5)</f>
        <v>5.7100000000000006E-5</v>
      </c>
      <c r="K75" s="27">
        <f>J75</f>
        <v>5.7100000000000006E-5</v>
      </c>
      <c r="L75" s="28"/>
      <c r="M75" s="26">
        <v>3</v>
      </c>
    </row>
    <row r="76" spans="1:13" ht="15" thickBot="1" x14ac:dyDescent="0.4">
      <c r="A76" s="85"/>
      <c r="B76" s="69"/>
      <c r="C76" s="79" t="s">
        <v>117</v>
      </c>
      <c r="D76" s="80"/>
      <c r="E76" s="81" t="s">
        <v>38</v>
      </c>
      <c r="F76" s="82"/>
      <c r="G76" s="83"/>
      <c r="H76" s="84">
        <v>9</v>
      </c>
      <c r="I76" s="38"/>
      <c r="J76" s="38"/>
      <c r="K76" s="49"/>
      <c r="L76" s="50"/>
      <c r="M76" s="38"/>
    </row>
    <row r="77" spans="1:13" x14ac:dyDescent="0.35">
      <c r="A77" s="1" t="s">
        <v>125</v>
      </c>
      <c r="B77" s="68" t="s">
        <v>126</v>
      </c>
      <c r="C77" s="86" t="s">
        <v>21</v>
      </c>
      <c r="D77" s="87"/>
      <c r="E77" s="68" t="s">
        <v>127</v>
      </c>
      <c r="F77" s="88"/>
      <c r="G77" s="89"/>
      <c r="H77" s="26">
        <v>10</v>
      </c>
      <c r="I77" s="90" t="s">
        <v>128</v>
      </c>
      <c r="J77" s="91">
        <f>1/26300</f>
        <v>3.8022813688212928E-5</v>
      </c>
      <c r="K77" s="27">
        <f>J77</f>
        <v>3.8022813688212928E-5</v>
      </c>
      <c r="L77" s="28"/>
      <c r="M77" s="26">
        <v>2</v>
      </c>
    </row>
    <row r="78" spans="1:13" ht="15" thickBot="1" x14ac:dyDescent="0.4">
      <c r="A78" s="10"/>
      <c r="B78" s="69"/>
      <c r="C78" s="92"/>
      <c r="D78" s="93"/>
      <c r="E78" s="69"/>
      <c r="F78" s="94"/>
      <c r="G78" s="95"/>
      <c r="H78" s="38"/>
      <c r="I78" s="96" t="s">
        <v>129</v>
      </c>
      <c r="J78" s="97"/>
      <c r="K78" s="49"/>
      <c r="L78" s="50"/>
      <c r="M78" s="38"/>
    </row>
    <row r="79" spans="1:13" ht="15" thickBot="1" x14ac:dyDescent="0.4">
      <c r="A79" s="1" t="s">
        <v>130</v>
      </c>
      <c r="B79" s="19" t="s">
        <v>131</v>
      </c>
      <c r="C79" s="60" t="s">
        <v>132</v>
      </c>
      <c r="D79" s="61"/>
      <c r="E79" s="98" t="s">
        <v>133</v>
      </c>
      <c r="F79" s="99"/>
      <c r="G79" s="100"/>
      <c r="H79" s="64">
        <v>4</v>
      </c>
      <c r="I79" s="101" t="s">
        <v>134</v>
      </c>
      <c r="J79" s="64">
        <f>1.36/10^6</f>
        <v>1.3600000000000001E-6</v>
      </c>
      <c r="K79" s="102">
        <f>SUM(J79:J82)</f>
        <v>1.1589999999999999E-5</v>
      </c>
      <c r="L79" s="103"/>
      <c r="M79" s="68">
        <v>2</v>
      </c>
    </row>
    <row r="80" spans="1:13" ht="15" thickBot="1" x14ac:dyDescent="0.4">
      <c r="A80" s="29"/>
      <c r="B80" s="30"/>
      <c r="C80" s="60" t="s">
        <v>135</v>
      </c>
      <c r="D80" s="61"/>
      <c r="E80" s="104" t="s">
        <v>136</v>
      </c>
      <c r="F80" s="99"/>
      <c r="G80" s="100"/>
      <c r="H80" s="64">
        <v>4</v>
      </c>
      <c r="I80" s="101" t="s">
        <v>137</v>
      </c>
      <c r="J80" s="64">
        <f>2.36/10^6</f>
        <v>2.3599999999999999E-6</v>
      </c>
      <c r="K80" s="105"/>
      <c r="L80" s="106"/>
      <c r="M80" s="71"/>
    </row>
    <row r="81" spans="1:13" ht="15" thickBot="1" x14ac:dyDescent="0.4">
      <c r="A81" s="29"/>
      <c r="B81" s="30"/>
      <c r="C81" s="107" t="s">
        <v>138</v>
      </c>
      <c r="D81" s="108"/>
      <c r="E81" s="98" t="s">
        <v>17</v>
      </c>
      <c r="F81" s="62" t="s">
        <v>18</v>
      </c>
      <c r="G81" s="63"/>
      <c r="H81" s="64">
        <v>9</v>
      </c>
      <c r="I81" s="101" t="s">
        <v>139</v>
      </c>
      <c r="J81" s="64">
        <f>1.91/10^6</f>
        <v>1.9099999999999999E-6</v>
      </c>
      <c r="K81" s="105"/>
      <c r="L81" s="106"/>
      <c r="M81" s="71"/>
    </row>
    <row r="82" spans="1:13" ht="15" thickBot="1" x14ac:dyDescent="0.4">
      <c r="A82" s="29"/>
      <c r="B82" s="33"/>
      <c r="C82" s="107" t="s">
        <v>140</v>
      </c>
      <c r="D82" s="108"/>
      <c r="E82" s="98" t="s">
        <v>141</v>
      </c>
      <c r="F82" s="99"/>
      <c r="G82" s="100"/>
      <c r="H82" s="64">
        <v>4</v>
      </c>
      <c r="I82" s="64" t="s">
        <v>142</v>
      </c>
      <c r="J82" s="64">
        <f>5.96/10^6</f>
        <v>5.9599999999999997E-6</v>
      </c>
      <c r="K82" s="109"/>
      <c r="L82" s="110"/>
      <c r="M82" s="69"/>
    </row>
    <row r="83" spans="1:13" ht="15" thickBot="1" x14ac:dyDescent="0.4">
      <c r="A83" s="29"/>
      <c r="B83" s="19" t="s">
        <v>143</v>
      </c>
      <c r="C83" s="60" t="s">
        <v>132</v>
      </c>
      <c r="D83" s="61"/>
      <c r="E83" s="98" t="s">
        <v>133</v>
      </c>
      <c r="F83" s="99"/>
      <c r="G83" s="100"/>
      <c r="H83" s="64">
        <v>4</v>
      </c>
      <c r="I83" s="64" t="s">
        <v>144</v>
      </c>
      <c r="J83" s="64">
        <f>2.41/10^6</f>
        <v>2.4100000000000002E-6</v>
      </c>
      <c r="K83" s="102">
        <f>SUM(J83:J86)</f>
        <v>1.5679999999999999E-5</v>
      </c>
      <c r="L83" s="103"/>
      <c r="M83" s="68">
        <v>2</v>
      </c>
    </row>
    <row r="84" spans="1:13" ht="15" thickBot="1" x14ac:dyDescent="0.4">
      <c r="A84" s="29"/>
      <c r="B84" s="30"/>
      <c r="C84" s="60" t="s">
        <v>135</v>
      </c>
      <c r="D84" s="61"/>
      <c r="E84" s="104" t="s">
        <v>136</v>
      </c>
      <c r="F84" s="99"/>
      <c r="G84" s="100"/>
      <c r="H84" s="64">
        <v>4</v>
      </c>
      <c r="I84" s="64" t="s">
        <v>145</v>
      </c>
      <c r="J84" s="64">
        <f>5.18/10^6</f>
        <v>5.1799999999999995E-6</v>
      </c>
      <c r="K84" s="105"/>
      <c r="L84" s="106"/>
      <c r="M84" s="71"/>
    </row>
    <row r="85" spans="1:13" ht="15" thickBot="1" x14ac:dyDescent="0.4">
      <c r="A85" s="29"/>
      <c r="B85" s="30"/>
      <c r="C85" s="107" t="s">
        <v>138</v>
      </c>
      <c r="D85" s="108"/>
      <c r="E85" s="98" t="s">
        <v>102</v>
      </c>
      <c r="F85" s="82"/>
      <c r="G85" s="83"/>
      <c r="H85" s="64">
        <v>10</v>
      </c>
      <c r="I85" s="64" t="s">
        <v>146</v>
      </c>
      <c r="J85" s="64">
        <f>(1.54+0.28)/10^6</f>
        <v>1.8200000000000002E-6</v>
      </c>
      <c r="K85" s="105"/>
      <c r="L85" s="106"/>
      <c r="M85" s="71"/>
    </row>
    <row r="86" spans="1:13" ht="15" thickBot="1" x14ac:dyDescent="0.4">
      <c r="A86" s="29"/>
      <c r="B86" s="33"/>
      <c r="C86" s="107" t="s">
        <v>140</v>
      </c>
      <c r="D86" s="108"/>
      <c r="E86" s="98" t="s">
        <v>141</v>
      </c>
      <c r="F86" s="99"/>
      <c r="G86" s="100"/>
      <c r="H86" s="64">
        <v>4</v>
      </c>
      <c r="I86" s="64" t="s">
        <v>147</v>
      </c>
      <c r="J86" s="64">
        <f>6.27/10^6</f>
        <v>6.2699999999999993E-6</v>
      </c>
      <c r="K86" s="109"/>
      <c r="L86" s="110"/>
      <c r="M86" s="69"/>
    </row>
    <row r="87" spans="1:13" ht="15" thickBot="1" x14ac:dyDescent="0.4">
      <c r="A87" s="29"/>
      <c r="B87" s="19" t="s">
        <v>148</v>
      </c>
      <c r="C87" s="60" t="s">
        <v>132</v>
      </c>
      <c r="D87" s="61"/>
      <c r="E87" s="98" t="s">
        <v>149</v>
      </c>
      <c r="F87" s="82"/>
      <c r="G87" s="83"/>
      <c r="H87" s="64">
        <v>4</v>
      </c>
      <c r="I87" s="64" t="s">
        <v>150</v>
      </c>
      <c r="J87" s="64">
        <f>3.81/10^6</f>
        <v>3.8099999999999999E-6</v>
      </c>
      <c r="K87" s="102">
        <f>SUM(J87:J90)</f>
        <v>7.0849999999999991E-6</v>
      </c>
      <c r="L87" s="111"/>
      <c r="M87" s="68">
        <v>1</v>
      </c>
    </row>
    <row r="88" spans="1:13" ht="15" thickBot="1" x14ac:dyDescent="0.4">
      <c r="A88" s="29"/>
      <c r="B88" s="30"/>
      <c r="C88" s="60" t="s">
        <v>135</v>
      </c>
      <c r="D88" s="61"/>
      <c r="E88" s="104" t="s">
        <v>151</v>
      </c>
      <c r="F88" s="99"/>
      <c r="G88" s="100"/>
      <c r="H88" s="64">
        <v>4</v>
      </c>
      <c r="I88" s="64" t="s">
        <v>152</v>
      </c>
      <c r="J88" s="64">
        <f>3.03/10^6</f>
        <v>3.0299999999999998E-6</v>
      </c>
      <c r="K88" s="105"/>
      <c r="L88" s="112"/>
      <c r="M88" s="71"/>
    </row>
    <row r="89" spans="1:13" ht="15" thickBot="1" x14ac:dyDescent="0.4">
      <c r="A89" s="29"/>
      <c r="B89" s="30"/>
      <c r="C89" s="107" t="s">
        <v>138</v>
      </c>
      <c r="D89" s="108"/>
      <c r="E89" s="98" t="s">
        <v>153</v>
      </c>
      <c r="F89" s="62" t="s">
        <v>18</v>
      </c>
      <c r="G89" s="63"/>
      <c r="H89" s="64">
        <v>9</v>
      </c>
      <c r="I89" s="64" t="s">
        <v>154</v>
      </c>
      <c r="J89" s="64">
        <f>(0.14*0.25)/10^6</f>
        <v>3.5000000000000002E-8</v>
      </c>
      <c r="K89" s="105"/>
      <c r="L89" s="112"/>
      <c r="M89" s="71"/>
    </row>
    <row r="90" spans="1:13" ht="15" thickBot="1" x14ac:dyDescent="0.4">
      <c r="A90" s="29"/>
      <c r="B90" s="33"/>
      <c r="C90" s="107" t="s">
        <v>140</v>
      </c>
      <c r="D90" s="108"/>
      <c r="E90" s="104" t="s">
        <v>155</v>
      </c>
      <c r="F90" s="82"/>
      <c r="G90" s="83"/>
      <c r="H90" s="64">
        <v>4</v>
      </c>
      <c r="I90" s="64" t="s">
        <v>156</v>
      </c>
      <c r="J90" s="64">
        <f>0.21/10^6</f>
        <v>2.1E-7</v>
      </c>
      <c r="K90" s="109"/>
      <c r="L90" s="113"/>
      <c r="M90" s="69"/>
    </row>
    <row r="91" spans="1:13" ht="15" thickBot="1" x14ac:dyDescent="0.4">
      <c r="A91" s="29"/>
      <c r="B91" s="19" t="s">
        <v>157</v>
      </c>
      <c r="C91" s="60" t="s">
        <v>158</v>
      </c>
      <c r="D91" s="61"/>
      <c r="E91" s="98" t="s">
        <v>149</v>
      </c>
      <c r="F91" s="82"/>
      <c r="G91" s="83"/>
      <c r="H91" s="64">
        <v>4</v>
      </c>
      <c r="I91" s="64" t="s">
        <v>159</v>
      </c>
      <c r="J91" s="64">
        <f>4.29/10^6</f>
        <v>4.2900000000000004E-6</v>
      </c>
      <c r="K91" s="102">
        <f>SUM(J91:J94)</f>
        <v>1.394E-5</v>
      </c>
      <c r="L91" s="103"/>
      <c r="M91" s="68">
        <v>2</v>
      </c>
    </row>
    <row r="92" spans="1:13" ht="15" thickBot="1" x14ac:dyDescent="0.4">
      <c r="A92" s="29"/>
      <c r="B92" s="30"/>
      <c r="C92" s="60" t="s">
        <v>160</v>
      </c>
      <c r="D92" s="61"/>
      <c r="E92" s="104" t="s">
        <v>151</v>
      </c>
      <c r="F92" s="99"/>
      <c r="G92" s="100"/>
      <c r="H92" s="64">
        <v>4</v>
      </c>
      <c r="I92" s="64" t="s">
        <v>161</v>
      </c>
      <c r="J92" s="64">
        <f>8.52/10^6</f>
        <v>8.5199999999999997E-6</v>
      </c>
      <c r="K92" s="105"/>
      <c r="L92" s="106"/>
      <c r="M92" s="71"/>
    </row>
    <row r="93" spans="1:13" ht="15" thickBot="1" x14ac:dyDescent="0.4">
      <c r="A93" s="29"/>
      <c r="B93" s="30"/>
      <c r="C93" s="107" t="s">
        <v>138</v>
      </c>
      <c r="D93" s="108"/>
      <c r="E93" s="98" t="s">
        <v>162</v>
      </c>
      <c r="F93" s="99"/>
      <c r="G93" s="100"/>
      <c r="H93" s="64">
        <v>10</v>
      </c>
      <c r="I93" s="64" t="s">
        <v>163</v>
      </c>
      <c r="J93" s="64">
        <f>0.39/10^6</f>
        <v>3.9000000000000002E-7</v>
      </c>
      <c r="K93" s="105"/>
      <c r="L93" s="106"/>
      <c r="M93" s="71"/>
    </row>
    <row r="94" spans="1:13" ht="15" thickBot="1" x14ac:dyDescent="0.4">
      <c r="A94" s="29"/>
      <c r="B94" s="33"/>
      <c r="C94" s="107" t="s">
        <v>140</v>
      </c>
      <c r="D94" s="108"/>
      <c r="E94" s="104" t="s">
        <v>155</v>
      </c>
      <c r="F94" s="82"/>
      <c r="G94" s="83"/>
      <c r="H94" s="64">
        <v>4</v>
      </c>
      <c r="I94" s="64" t="s">
        <v>164</v>
      </c>
      <c r="J94" s="64">
        <f>0.74/10^6</f>
        <v>7.4000000000000001E-7</v>
      </c>
      <c r="K94" s="109"/>
      <c r="L94" s="110"/>
      <c r="M94" s="69"/>
    </row>
    <row r="95" spans="1:13" ht="15" thickBot="1" x14ac:dyDescent="0.4">
      <c r="A95" s="29"/>
      <c r="B95" s="19" t="s">
        <v>165</v>
      </c>
      <c r="C95" s="60" t="s">
        <v>158</v>
      </c>
      <c r="D95" s="61"/>
      <c r="E95" s="101" t="s">
        <v>166</v>
      </c>
      <c r="F95" s="65"/>
      <c r="G95" s="66"/>
      <c r="H95" s="101">
        <v>8</v>
      </c>
      <c r="I95" s="114" t="s">
        <v>167</v>
      </c>
      <c r="J95" s="115">
        <f>0.82/10^6</f>
        <v>8.1999999999999998E-7</v>
      </c>
      <c r="K95" s="102">
        <f>SUM(J95:J97)</f>
        <v>1.9699999999999998E-6</v>
      </c>
      <c r="L95" s="103"/>
      <c r="M95" s="68">
        <v>3</v>
      </c>
    </row>
    <row r="96" spans="1:13" x14ac:dyDescent="0.35">
      <c r="A96" s="29"/>
      <c r="B96" s="30"/>
      <c r="C96" s="20" t="s">
        <v>16</v>
      </c>
      <c r="D96" s="21"/>
      <c r="E96" s="67" t="s">
        <v>168</v>
      </c>
      <c r="F96" s="42"/>
      <c r="G96" s="43"/>
      <c r="H96" s="19">
        <v>10</v>
      </c>
      <c r="I96" s="19" t="s">
        <v>169</v>
      </c>
      <c r="J96" s="68">
        <f>1.15/10^6</f>
        <v>1.15E-6</v>
      </c>
      <c r="K96" s="105"/>
      <c r="L96" s="106"/>
      <c r="M96" s="71"/>
    </row>
    <row r="97" spans="1:13" ht="15" thickBot="1" x14ac:dyDescent="0.4">
      <c r="A97" s="10"/>
      <c r="B97" s="33"/>
      <c r="C97" s="31"/>
      <c r="D97" s="32"/>
      <c r="E97" s="59" t="s">
        <v>170</v>
      </c>
      <c r="F97" s="55"/>
      <c r="G97" s="56"/>
      <c r="H97" s="33"/>
      <c r="I97" s="33"/>
      <c r="J97" s="69"/>
      <c r="K97" s="109"/>
      <c r="L97" s="110"/>
      <c r="M97" s="69"/>
    </row>
    <row r="100" spans="1:13" ht="29" x14ac:dyDescent="0.35">
      <c r="E100" s="117" t="s">
        <v>171</v>
      </c>
    </row>
    <row r="101" spans="1:13" ht="43.5" x14ac:dyDescent="0.35">
      <c r="E101" s="117" t="s">
        <v>172</v>
      </c>
    </row>
    <row r="102" spans="1:13" ht="58" x14ac:dyDescent="0.35">
      <c r="E102" s="117" t="s">
        <v>173</v>
      </c>
    </row>
  </sheetData>
  <mergeCells count="259">
    <mergeCell ref="M95:M97"/>
    <mergeCell ref="C96:D97"/>
    <mergeCell ref="F96:G97"/>
    <mergeCell ref="H96:H97"/>
    <mergeCell ref="I96:I97"/>
    <mergeCell ref="J96:J97"/>
    <mergeCell ref="C94:D94"/>
    <mergeCell ref="F94:G94"/>
    <mergeCell ref="B95:B97"/>
    <mergeCell ref="C95:D95"/>
    <mergeCell ref="F95:G95"/>
    <mergeCell ref="K95:L97"/>
    <mergeCell ref="F90:G90"/>
    <mergeCell ref="B91:B94"/>
    <mergeCell ref="C91:D91"/>
    <mergeCell ref="F91:G91"/>
    <mergeCell ref="K91:L94"/>
    <mergeCell ref="M91:M94"/>
    <mergeCell ref="C92:D92"/>
    <mergeCell ref="F92:G92"/>
    <mergeCell ref="C93:D93"/>
    <mergeCell ref="F93:G93"/>
    <mergeCell ref="B87:B90"/>
    <mergeCell ref="C87:D87"/>
    <mergeCell ref="F87:G87"/>
    <mergeCell ref="K87:L90"/>
    <mergeCell ref="M87:M90"/>
    <mergeCell ref="C88:D88"/>
    <mergeCell ref="F88:G88"/>
    <mergeCell ref="C89:D89"/>
    <mergeCell ref="F89:G89"/>
    <mergeCell ref="C90:D90"/>
    <mergeCell ref="K83:L86"/>
    <mergeCell ref="M83:M86"/>
    <mergeCell ref="C84:D84"/>
    <mergeCell ref="F84:G84"/>
    <mergeCell ref="C85:D85"/>
    <mergeCell ref="F85:G85"/>
    <mergeCell ref="C86:D86"/>
    <mergeCell ref="F86:G86"/>
    <mergeCell ref="F80:G80"/>
    <mergeCell ref="C81:D81"/>
    <mergeCell ref="F81:G81"/>
    <mergeCell ref="C82:D82"/>
    <mergeCell ref="F82:G82"/>
    <mergeCell ref="B83:B86"/>
    <mergeCell ref="C83:D83"/>
    <mergeCell ref="F83:G83"/>
    <mergeCell ref="J77:J78"/>
    <mergeCell ref="K77:L78"/>
    <mergeCell ref="M77:M78"/>
    <mergeCell ref="A79:A97"/>
    <mergeCell ref="B79:B82"/>
    <mergeCell ref="C79:D79"/>
    <mergeCell ref="F79:G79"/>
    <mergeCell ref="K79:L82"/>
    <mergeCell ref="M79:M82"/>
    <mergeCell ref="C80:D80"/>
    <mergeCell ref="K75:L76"/>
    <mergeCell ref="M75:M76"/>
    <mergeCell ref="C76:D76"/>
    <mergeCell ref="F76:G76"/>
    <mergeCell ref="A77:A78"/>
    <mergeCell ref="B77:B78"/>
    <mergeCell ref="C77:D78"/>
    <mergeCell ref="E77:E78"/>
    <mergeCell ref="F77:G78"/>
    <mergeCell ref="H77:H78"/>
    <mergeCell ref="A75:A76"/>
    <mergeCell ref="B75:B76"/>
    <mergeCell ref="C75:D75"/>
    <mergeCell ref="F75:G75"/>
    <mergeCell ref="I75:I76"/>
    <mergeCell ref="J75:J76"/>
    <mergeCell ref="J71:J74"/>
    <mergeCell ref="K71:L74"/>
    <mergeCell ref="M71:M74"/>
    <mergeCell ref="C72:D73"/>
    <mergeCell ref="E72:E73"/>
    <mergeCell ref="F72:G73"/>
    <mergeCell ref="H72:H73"/>
    <mergeCell ref="C74:D74"/>
    <mergeCell ref="F74:G74"/>
    <mergeCell ref="C70:D70"/>
    <mergeCell ref="F70:G70"/>
    <mergeCell ref="A71:A74"/>
    <mergeCell ref="B71:B74"/>
    <mergeCell ref="C71:D71"/>
    <mergeCell ref="F71:G71"/>
    <mergeCell ref="B67:B69"/>
    <mergeCell ref="C67:D68"/>
    <mergeCell ref="F67:G68"/>
    <mergeCell ref="H67:H68"/>
    <mergeCell ref="I67:I68"/>
    <mergeCell ref="J67:J68"/>
    <mergeCell ref="C69:D69"/>
    <mergeCell ref="F69:G69"/>
    <mergeCell ref="A64:A70"/>
    <mergeCell ref="B64:B65"/>
    <mergeCell ref="C64:D64"/>
    <mergeCell ref="F64:G64"/>
    <mergeCell ref="K64:L70"/>
    <mergeCell ref="M64:M70"/>
    <mergeCell ref="C65:D65"/>
    <mergeCell ref="F65:G65"/>
    <mergeCell ref="C66:D66"/>
    <mergeCell ref="F66:G66"/>
    <mergeCell ref="K54:L63"/>
    <mergeCell ref="M54:M63"/>
    <mergeCell ref="C56:D59"/>
    <mergeCell ref="F56:G59"/>
    <mergeCell ref="H56:H59"/>
    <mergeCell ref="J56:J59"/>
    <mergeCell ref="C60:D63"/>
    <mergeCell ref="F60:G63"/>
    <mergeCell ref="H60:H63"/>
    <mergeCell ref="J60:J63"/>
    <mergeCell ref="B54:B63"/>
    <mergeCell ref="C54:D55"/>
    <mergeCell ref="E54:E55"/>
    <mergeCell ref="F54:G55"/>
    <mergeCell ref="H54:H55"/>
    <mergeCell ref="J54:J55"/>
    <mergeCell ref="K48:L53"/>
    <mergeCell ref="M48:M53"/>
    <mergeCell ref="C50:D51"/>
    <mergeCell ref="E50:E51"/>
    <mergeCell ref="F50:G51"/>
    <mergeCell ref="H50:H51"/>
    <mergeCell ref="J50:J51"/>
    <mergeCell ref="C52:D53"/>
    <mergeCell ref="E52:E53"/>
    <mergeCell ref="F52:G53"/>
    <mergeCell ref="B48:B53"/>
    <mergeCell ref="C48:D49"/>
    <mergeCell ref="E48:E49"/>
    <mergeCell ref="F48:G49"/>
    <mergeCell ref="H48:H49"/>
    <mergeCell ref="J48:J49"/>
    <mergeCell ref="H52:H53"/>
    <mergeCell ref="J52:J53"/>
    <mergeCell ref="J44:J47"/>
    <mergeCell ref="K44:L47"/>
    <mergeCell ref="M44:M47"/>
    <mergeCell ref="C45:D46"/>
    <mergeCell ref="E45:E46"/>
    <mergeCell ref="F45:G46"/>
    <mergeCell ref="H45:H46"/>
    <mergeCell ref="C47:D47"/>
    <mergeCell ref="F47:G47"/>
    <mergeCell ref="K38:L43"/>
    <mergeCell ref="M38:M43"/>
    <mergeCell ref="C39:D41"/>
    <mergeCell ref="F39:G41"/>
    <mergeCell ref="H39:H41"/>
    <mergeCell ref="E40:E41"/>
    <mergeCell ref="C42:D43"/>
    <mergeCell ref="E42:E43"/>
    <mergeCell ref="F42:G43"/>
    <mergeCell ref="H42:H43"/>
    <mergeCell ref="I35:I37"/>
    <mergeCell ref="J35:J37"/>
    <mergeCell ref="A38:A63"/>
    <mergeCell ref="B38:B43"/>
    <mergeCell ref="C38:D38"/>
    <mergeCell ref="F38:G38"/>
    <mergeCell ref="J38:J43"/>
    <mergeCell ref="B44:B47"/>
    <mergeCell ref="C44:D44"/>
    <mergeCell ref="F44:G44"/>
    <mergeCell ref="I27:I28"/>
    <mergeCell ref="J27:J28"/>
    <mergeCell ref="K27:L37"/>
    <mergeCell ref="M27:M37"/>
    <mergeCell ref="C29:D34"/>
    <mergeCell ref="E29:E34"/>
    <mergeCell ref="F29:G34"/>
    <mergeCell ref="H29:H34"/>
    <mergeCell ref="I29:I34"/>
    <mergeCell ref="J29:J34"/>
    <mergeCell ref="A27:A37"/>
    <mergeCell ref="B27:B37"/>
    <mergeCell ref="C27:D28"/>
    <mergeCell ref="E27:E28"/>
    <mergeCell ref="F27:G28"/>
    <mergeCell ref="H27:H28"/>
    <mergeCell ref="C35:D37"/>
    <mergeCell ref="E35:E37"/>
    <mergeCell ref="F35:G37"/>
    <mergeCell ref="H35:H37"/>
    <mergeCell ref="J21:J23"/>
    <mergeCell ref="C22:D22"/>
    <mergeCell ref="F22:G22"/>
    <mergeCell ref="C23:D23"/>
    <mergeCell ref="F23:G23"/>
    <mergeCell ref="C24:D26"/>
    <mergeCell ref="E24:E26"/>
    <mergeCell ref="F24:G26"/>
    <mergeCell ref="H24:H26"/>
    <mergeCell ref="I24:I26"/>
    <mergeCell ref="J17:J20"/>
    <mergeCell ref="K17:L26"/>
    <mergeCell ref="M17:M26"/>
    <mergeCell ref="C18:D18"/>
    <mergeCell ref="F18:G18"/>
    <mergeCell ref="C19:D20"/>
    <mergeCell ref="E19:E20"/>
    <mergeCell ref="F19:G20"/>
    <mergeCell ref="H19:H20"/>
    <mergeCell ref="C21:D21"/>
    <mergeCell ref="C16:D16"/>
    <mergeCell ref="F16:G16"/>
    <mergeCell ref="A17:A26"/>
    <mergeCell ref="B17:B20"/>
    <mergeCell ref="C17:D17"/>
    <mergeCell ref="F17:G17"/>
    <mergeCell ref="B21:B26"/>
    <mergeCell ref="F21:G21"/>
    <mergeCell ref="B13:B15"/>
    <mergeCell ref="C13:D14"/>
    <mergeCell ref="F13:G14"/>
    <mergeCell ref="H13:H14"/>
    <mergeCell ref="I13:I14"/>
    <mergeCell ref="J13:J14"/>
    <mergeCell ref="C15:D15"/>
    <mergeCell ref="F15:G15"/>
    <mergeCell ref="K7:L10"/>
    <mergeCell ref="M7:M10"/>
    <mergeCell ref="J9:J10"/>
    <mergeCell ref="A11:A16"/>
    <mergeCell ref="C11:D11"/>
    <mergeCell ref="F11:G11"/>
    <mergeCell ref="K11:L16"/>
    <mergeCell ref="M11:M16"/>
    <mergeCell ref="C12:D12"/>
    <mergeCell ref="F12:G12"/>
    <mergeCell ref="J3:J4"/>
    <mergeCell ref="K3:L6"/>
    <mergeCell ref="M3:M6"/>
    <mergeCell ref="C5:D10"/>
    <mergeCell ref="E5:E10"/>
    <mergeCell ref="F5:G10"/>
    <mergeCell ref="H5:H10"/>
    <mergeCell ref="J5:J6"/>
    <mergeCell ref="I7:I8"/>
    <mergeCell ref="J7:J8"/>
    <mergeCell ref="A3:A10"/>
    <mergeCell ref="B3:B10"/>
    <mergeCell ref="C3:D4"/>
    <mergeCell ref="E3:E4"/>
    <mergeCell ref="F3:G4"/>
    <mergeCell ref="H3:H4"/>
    <mergeCell ref="A1:A2"/>
    <mergeCell ref="B1:B2"/>
    <mergeCell ref="C1:D2"/>
    <mergeCell ref="E1:E2"/>
    <mergeCell ref="F1:G1"/>
    <mergeCell ref="H1:H2"/>
    <mergeCell ref="F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:B10"/>
    </sheetView>
  </sheetViews>
  <sheetFormatPr baseColWidth="10" defaultRowHeight="14.5" x14ac:dyDescent="0.35"/>
  <cols>
    <col min="1" max="1" width="16" customWidth="1"/>
    <col min="2" max="2" width="21" customWidth="1"/>
    <col min="4" max="4" width="14.81640625" customWidth="1"/>
    <col min="5" max="5" width="40.453125" customWidth="1"/>
    <col min="7" max="7" width="24.54296875" customWidth="1"/>
    <col min="8" max="8" width="10.90625" style="199"/>
    <col min="9" max="9" width="17.54296875" bestFit="1" customWidth="1"/>
    <col min="10" max="10" width="13" bestFit="1" customWidth="1"/>
  </cols>
  <sheetData>
    <row r="1" spans="1:13" x14ac:dyDescent="0.35">
      <c r="A1" s="1" t="s">
        <v>0</v>
      </c>
      <c r="B1" s="1" t="s">
        <v>1</v>
      </c>
      <c r="C1" s="122" t="s">
        <v>2</v>
      </c>
      <c r="D1" s="123"/>
      <c r="E1" s="1" t="s">
        <v>3</v>
      </c>
      <c r="F1" s="4" t="s">
        <v>4</v>
      </c>
      <c r="G1" s="5"/>
      <c r="H1" s="185" t="s">
        <v>5</v>
      </c>
      <c r="I1" s="124" t="s">
        <v>6</v>
      </c>
      <c r="J1" s="125" t="s">
        <v>7</v>
      </c>
      <c r="K1" s="125" t="s">
        <v>8</v>
      </c>
      <c r="L1" s="126"/>
      <c r="M1" s="125" t="s">
        <v>9</v>
      </c>
    </row>
    <row r="2" spans="1:13" ht="15" thickBot="1" x14ac:dyDescent="0.4">
      <c r="A2" s="10"/>
      <c r="B2" s="10"/>
      <c r="C2" s="130"/>
      <c r="D2" s="131"/>
      <c r="E2" s="10"/>
      <c r="F2" s="13" t="s">
        <v>10</v>
      </c>
      <c r="G2" s="14"/>
      <c r="H2" s="186"/>
      <c r="I2" s="75" t="s">
        <v>11</v>
      </c>
      <c r="J2" s="132" t="s">
        <v>12</v>
      </c>
      <c r="K2" s="132" t="s">
        <v>13</v>
      </c>
      <c r="L2" s="133"/>
      <c r="M2" s="132"/>
    </row>
    <row r="3" spans="1:13" x14ac:dyDescent="0.35">
      <c r="A3" s="1" t="s">
        <v>260</v>
      </c>
      <c r="B3" s="19" t="s">
        <v>261</v>
      </c>
      <c r="C3" s="134" t="s">
        <v>16</v>
      </c>
      <c r="D3" s="135"/>
      <c r="E3" s="19" t="s">
        <v>262</v>
      </c>
      <c r="F3" s="22"/>
      <c r="G3" s="23"/>
      <c r="H3" s="24">
        <v>3</v>
      </c>
      <c r="I3" s="67" t="s">
        <v>19</v>
      </c>
      <c r="J3" s="68">
        <f>2.87/10^6</f>
        <v>2.8700000000000001E-6</v>
      </c>
      <c r="K3" s="102">
        <f>SUM(J3:J5)</f>
        <v>3.8549999999999995E-6</v>
      </c>
      <c r="L3" s="103"/>
      <c r="M3" s="68">
        <v>2</v>
      </c>
    </row>
    <row r="4" spans="1:13" ht="15" thickBot="1" x14ac:dyDescent="0.4">
      <c r="A4" s="29"/>
      <c r="B4" s="30"/>
      <c r="C4" s="136"/>
      <c r="D4" s="137"/>
      <c r="E4" s="33"/>
      <c r="F4" s="34"/>
      <c r="G4" s="35"/>
      <c r="H4" s="36"/>
      <c r="I4" s="59" t="s">
        <v>20</v>
      </c>
      <c r="J4" s="69"/>
      <c r="K4" s="105"/>
      <c r="L4" s="106"/>
      <c r="M4" s="71"/>
    </row>
    <row r="5" spans="1:13" x14ac:dyDescent="0.35">
      <c r="A5" s="29"/>
      <c r="B5" s="30"/>
      <c r="C5" s="134" t="s">
        <v>21</v>
      </c>
      <c r="D5" s="135"/>
      <c r="E5" s="19" t="s">
        <v>262</v>
      </c>
      <c r="F5" s="42"/>
      <c r="G5" s="43"/>
      <c r="H5" s="24">
        <v>7</v>
      </c>
      <c r="I5" s="67" t="s">
        <v>22</v>
      </c>
      <c r="J5" s="68">
        <f>0.985/10^6</f>
        <v>9.8499999999999989E-7</v>
      </c>
      <c r="K5" s="105"/>
      <c r="L5" s="106"/>
      <c r="M5" s="71"/>
    </row>
    <row r="6" spans="1:13" ht="15" thickBot="1" x14ac:dyDescent="0.4">
      <c r="A6" s="29"/>
      <c r="B6" s="30"/>
      <c r="C6" s="172"/>
      <c r="D6" s="173"/>
      <c r="E6" s="30"/>
      <c r="F6" s="46"/>
      <c r="G6" s="47"/>
      <c r="H6" s="48"/>
      <c r="I6" s="59" t="s">
        <v>23</v>
      </c>
      <c r="J6" s="69"/>
      <c r="K6" s="109"/>
      <c r="L6" s="110"/>
      <c r="M6" s="69"/>
    </row>
    <row r="7" spans="1:13" x14ac:dyDescent="0.35">
      <c r="A7" s="29"/>
      <c r="B7" s="30"/>
      <c r="C7" s="172"/>
      <c r="D7" s="173"/>
      <c r="E7" s="30"/>
      <c r="F7" s="46"/>
      <c r="G7" s="47"/>
      <c r="H7" s="48"/>
      <c r="I7" s="19">
        <v>6.3600000000000004E-2</v>
      </c>
      <c r="J7" s="68">
        <f>0.0636/10^6</f>
        <v>6.36E-8</v>
      </c>
      <c r="K7" s="138">
        <f>SUM(J7:J10)</f>
        <v>6.36E-8</v>
      </c>
      <c r="L7" s="139"/>
      <c r="M7" s="68">
        <v>1</v>
      </c>
    </row>
    <row r="8" spans="1:13" ht="15" thickBot="1" x14ac:dyDescent="0.4">
      <c r="A8" s="29"/>
      <c r="B8" s="30"/>
      <c r="C8" s="172"/>
      <c r="D8" s="173"/>
      <c r="E8" s="30"/>
      <c r="F8" s="46"/>
      <c r="G8" s="47"/>
      <c r="H8" s="48"/>
      <c r="I8" s="33"/>
      <c r="J8" s="69"/>
      <c r="K8" s="140"/>
      <c r="L8" s="141"/>
      <c r="M8" s="71"/>
    </row>
    <row r="9" spans="1:13" x14ac:dyDescent="0.35">
      <c r="A9" s="29"/>
      <c r="B9" s="30"/>
      <c r="C9" s="172"/>
      <c r="D9" s="173"/>
      <c r="E9" s="30"/>
      <c r="F9" s="46"/>
      <c r="G9" s="47"/>
      <c r="H9" s="48"/>
      <c r="I9" s="67" t="s">
        <v>25</v>
      </c>
      <c r="J9" s="68" t="s">
        <v>25</v>
      </c>
      <c r="K9" s="140"/>
      <c r="L9" s="141"/>
      <c r="M9" s="71"/>
    </row>
    <row r="10" spans="1:13" ht="15" thickBot="1" x14ac:dyDescent="0.4">
      <c r="A10" s="10"/>
      <c r="B10" s="33"/>
      <c r="C10" s="136"/>
      <c r="D10" s="137"/>
      <c r="E10" s="33"/>
      <c r="F10" s="55"/>
      <c r="G10" s="56"/>
      <c r="H10" s="36"/>
      <c r="I10" s="59" t="s">
        <v>26</v>
      </c>
      <c r="J10" s="69"/>
      <c r="K10" s="142"/>
      <c r="L10" s="143"/>
      <c r="M10" s="69"/>
    </row>
    <row r="11" spans="1:13" ht="15" thickBot="1" x14ac:dyDescent="0.4">
      <c r="A11" s="1" t="s">
        <v>27</v>
      </c>
      <c r="B11" s="59" t="s">
        <v>28</v>
      </c>
      <c r="C11" s="144" t="s">
        <v>16</v>
      </c>
      <c r="D11" s="145"/>
      <c r="E11" s="59" t="s">
        <v>262</v>
      </c>
      <c r="F11" s="62"/>
      <c r="G11" s="63"/>
      <c r="H11" s="37">
        <v>4</v>
      </c>
      <c r="I11" s="59" t="s">
        <v>29</v>
      </c>
      <c r="J11" s="64">
        <f>7.07/10^6</f>
        <v>7.0700000000000001E-6</v>
      </c>
      <c r="K11" s="102">
        <f>SUM(J11:J16)</f>
        <v>3.3089999999999997E-5</v>
      </c>
      <c r="L11" s="103"/>
      <c r="M11" s="68">
        <v>2</v>
      </c>
    </row>
    <row r="12" spans="1:13" ht="15" thickBot="1" x14ac:dyDescent="0.4">
      <c r="A12" s="29"/>
      <c r="B12" s="59" t="s">
        <v>30</v>
      </c>
      <c r="C12" s="144" t="s">
        <v>21</v>
      </c>
      <c r="D12" s="145"/>
      <c r="E12" s="59" t="s">
        <v>31</v>
      </c>
      <c r="F12" s="65"/>
      <c r="G12" s="66"/>
      <c r="H12" s="37">
        <v>7</v>
      </c>
      <c r="I12" s="59" t="s">
        <v>32</v>
      </c>
      <c r="J12" s="64">
        <f>1.24/10^6</f>
        <v>1.24E-6</v>
      </c>
      <c r="K12" s="105"/>
      <c r="L12" s="106"/>
      <c r="M12" s="71"/>
    </row>
    <row r="13" spans="1:13" x14ac:dyDescent="0.35">
      <c r="A13" s="29"/>
      <c r="B13" s="19" t="s">
        <v>33</v>
      </c>
      <c r="C13" s="134" t="s">
        <v>34</v>
      </c>
      <c r="D13" s="135"/>
      <c r="E13" s="67" t="s">
        <v>35</v>
      </c>
      <c r="F13" s="22" t="s">
        <v>36</v>
      </c>
      <c r="G13" s="23"/>
      <c r="H13" s="24">
        <v>3</v>
      </c>
      <c r="I13" s="19" t="s">
        <v>37</v>
      </c>
      <c r="J13" s="68">
        <f>0.6/10^6</f>
        <v>5.9999999999999997E-7</v>
      </c>
      <c r="K13" s="105"/>
      <c r="L13" s="106"/>
      <c r="M13" s="71"/>
    </row>
    <row r="14" spans="1:13" ht="15" thickBot="1" x14ac:dyDescent="0.4">
      <c r="A14" s="29"/>
      <c r="B14" s="30"/>
      <c r="C14" s="136"/>
      <c r="D14" s="137"/>
      <c r="E14" s="59" t="s">
        <v>38</v>
      </c>
      <c r="F14" s="34"/>
      <c r="G14" s="35"/>
      <c r="H14" s="36"/>
      <c r="I14" s="33"/>
      <c r="J14" s="69"/>
      <c r="K14" s="105"/>
      <c r="L14" s="106"/>
      <c r="M14" s="71"/>
    </row>
    <row r="15" spans="1:13" ht="15" thickBot="1" x14ac:dyDescent="0.4">
      <c r="A15" s="29"/>
      <c r="B15" s="33"/>
      <c r="C15" s="144" t="s">
        <v>39</v>
      </c>
      <c r="D15" s="145"/>
      <c r="E15" s="59" t="s">
        <v>31</v>
      </c>
      <c r="F15" s="65"/>
      <c r="G15" s="66"/>
      <c r="H15" s="37">
        <v>6</v>
      </c>
      <c r="I15" s="59" t="s">
        <v>40</v>
      </c>
      <c r="J15" s="64">
        <f>19.07/10^6</f>
        <v>1.9069999999999999E-5</v>
      </c>
      <c r="K15" s="105"/>
      <c r="L15" s="106"/>
      <c r="M15" s="71"/>
    </row>
    <row r="16" spans="1:13" ht="15" thickBot="1" x14ac:dyDescent="0.4">
      <c r="A16" s="10"/>
      <c r="B16" s="59" t="s">
        <v>41</v>
      </c>
      <c r="C16" s="144" t="s">
        <v>39</v>
      </c>
      <c r="D16" s="145"/>
      <c r="E16" s="59" t="s">
        <v>31</v>
      </c>
      <c r="F16" s="65"/>
      <c r="G16" s="66"/>
      <c r="H16" s="37">
        <v>6</v>
      </c>
      <c r="I16" s="59" t="s">
        <v>42</v>
      </c>
      <c r="J16" s="64">
        <f>5.11/10^6</f>
        <v>5.1100000000000002E-6</v>
      </c>
      <c r="K16" s="109"/>
      <c r="L16" s="110"/>
      <c r="M16" s="69"/>
    </row>
    <row r="17" spans="1:13" ht="15" thickBot="1" x14ac:dyDescent="0.4">
      <c r="A17" s="1" t="s">
        <v>263</v>
      </c>
      <c r="B17" s="19" t="s">
        <v>44</v>
      </c>
      <c r="C17" s="144" t="s">
        <v>45</v>
      </c>
      <c r="D17" s="145"/>
      <c r="E17" s="59" t="s">
        <v>262</v>
      </c>
      <c r="F17" s="62"/>
      <c r="G17" s="63"/>
      <c r="H17" s="37">
        <v>3</v>
      </c>
      <c r="I17" s="67" t="s">
        <v>46</v>
      </c>
      <c r="J17" s="68">
        <f>0.57/10^6</f>
        <v>5.6999999999999994E-7</v>
      </c>
      <c r="K17" s="102">
        <f>SUM(J17:J26)</f>
        <v>1.4249999999999999E-6</v>
      </c>
      <c r="L17" s="103"/>
      <c r="M17" s="68">
        <v>2</v>
      </c>
    </row>
    <row r="18" spans="1:13" ht="15" thickBot="1" x14ac:dyDescent="0.4">
      <c r="A18" s="29"/>
      <c r="B18" s="30"/>
      <c r="C18" s="144" t="s">
        <v>16</v>
      </c>
      <c r="D18" s="145"/>
      <c r="E18" s="59" t="s">
        <v>262</v>
      </c>
      <c r="F18" s="62"/>
      <c r="G18" s="63"/>
      <c r="H18" s="37">
        <v>3</v>
      </c>
      <c r="I18" s="67" t="s">
        <v>47</v>
      </c>
      <c r="J18" s="71"/>
      <c r="K18" s="105"/>
      <c r="L18" s="106"/>
      <c r="M18" s="71"/>
    </row>
    <row r="19" spans="1:13" x14ac:dyDescent="0.35">
      <c r="A19" s="29"/>
      <c r="B19" s="30"/>
      <c r="C19" s="134" t="s">
        <v>21</v>
      </c>
      <c r="D19" s="135"/>
      <c r="E19" s="19" t="s">
        <v>262</v>
      </c>
      <c r="F19" s="42"/>
      <c r="G19" s="43"/>
      <c r="H19" s="24">
        <v>6</v>
      </c>
      <c r="I19" s="67"/>
      <c r="J19" s="71"/>
      <c r="K19" s="105"/>
      <c r="L19" s="106"/>
      <c r="M19" s="71"/>
    </row>
    <row r="20" spans="1:13" ht="15" thickBot="1" x14ac:dyDescent="0.4">
      <c r="A20" s="29"/>
      <c r="B20" s="33"/>
      <c r="C20" s="136"/>
      <c r="D20" s="137"/>
      <c r="E20" s="33"/>
      <c r="F20" s="55"/>
      <c r="G20" s="56"/>
      <c r="H20" s="36"/>
      <c r="I20" s="59"/>
      <c r="J20" s="69"/>
      <c r="K20" s="105"/>
      <c r="L20" s="106"/>
      <c r="M20" s="71"/>
    </row>
    <row r="21" spans="1:13" ht="15" thickBot="1" x14ac:dyDescent="0.4">
      <c r="A21" s="29"/>
      <c r="B21" s="19" t="s">
        <v>48</v>
      </c>
      <c r="C21" s="146" t="s">
        <v>16</v>
      </c>
      <c r="D21" s="147"/>
      <c r="E21" s="59" t="s">
        <v>262</v>
      </c>
      <c r="F21" s="62"/>
      <c r="G21" s="63"/>
      <c r="H21" s="37">
        <v>3</v>
      </c>
      <c r="I21" s="67" t="s">
        <v>49</v>
      </c>
      <c r="J21" s="68">
        <f>0.855/10^6</f>
        <v>8.5499999999999997E-7</v>
      </c>
      <c r="K21" s="105"/>
      <c r="L21" s="106"/>
      <c r="M21" s="71"/>
    </row>
    <row r="22" spans="1:13" ht="15" thickBot="1" x14ac:dyDescent="0.4">
      <c r="A22" s="29"/>
      <c r="B22" s="30"/>
      <c r="C22" s="146" t="s">
        <v>21</v>
      </c>
      <c r="D22" s="147"/>
      <c r="E22" s="59" t="s">
        <v>262</v>
      </c>
      <c r="F22" s="65"/>
      <c r="G22" s="66"/>
      <c r="H22" s="37">
        <v>6</v>
      </c>
      <c r="I22" s="67" t="s">
        <v>50</v>
      </c>
      <c r="J22" s="71"/>
      <c r="K22" s="105"/>
      <c r="L22" s="106"/>
      <c r="M22" s="71"/>
    </row>
    <row r="23" spans="1:13" ht="15" thickBot="1" x14ac:dyDescent="0.4">
      <c r="A23" s="29"/>
      <c r="B23" s="30"/>
      <c r="C23" s="146" t="s">
        <v>51</v>
      </c>
      <c r="D23" s="147"/>
      <c r="E23" s="59" t="s">
        <v>31</v>
      </c>
      <c r="F23" s="62"/>
      <c r="G23" s="63"/>
      <c r="H23" s="37">
        <v>5</v>
      </c>
      <c r="I23" s="59"/>
      <c r="J23" s="69"/>
      <c r="K23" s="105"/>
      <c r="L23" s="106"/>
      <c r="M23" s="71"/>
    </row>
    <row r="24" spans="1:13" ht="30.75" customHeight="1" x14ac:dyDescent="0.35">
      <c r="A24" s="29"/>
      <c r="B24" s="30"/>
      <c r="C24" s="148" t="s">
        <v>52</v>
      </c>
      <c r="D24" s="149"/>
      <c r="E24" s="19" t="s">
        <v>31</v>
      </c>
      <c r="F24" s="42"/>
      <c r="G24" s="43"/>
      <c r="H24" s="24">
        <v>6</v>
      </c>
      <c r="I24" s="19" t="s">
        <v>24</v>
      </c>
      <c r="J24" s="68"/>
      <c r="K24" s="105"/>
      <c r="L24" s="106"/>
      <c r="M24" s="71"/>
    </row>
    <row r="25" spans="1:13" x14ac:dyDescent="0.35">
      <c r="A25" s="29"/>
      <c r="B25" s="30"/>
      <c r="C25" s="151"/>
      <c r="D25" s="152"/>
      <c r="E25" s="30"/>
      <c r="F25" s="46"/>
      <c r="G25" s="47"/>
      <c r="H25" s="48"/>
      <c r="I25" s="30"/>
      <c r="J25" s="71"/>
      <c r="K25" s="105"/>
      <c r="L25" s="106"/>
      <c r="M25" s="71"/>
    </row>
    <row r="26" spans="1:13" ht="15" thickBot="1" x14ac:dyDescent="0.4">
      <c r="A26" s="10"/>
      <c r="B26" s="33"/>
      <c r="C26" s="154"/>
      <c r="D26" s="155"/>
      <c r="E26" s="33"/>
      <c r="F26" s="55"/>
      <c r="G26" s="56"/>
      <c r="H26" s="36"/>
      <c r="I26" s="33"/>
      <c r="J26" s="69"/>
      <c r="K26" s="109"/>
      <c r="L26" s="110"/>
      <c r="M26" s="69"/>
    </row>
    <row r="27" spans="1:13" ht="15" thickBot="1" x14ac:dyDescent="0.4">
      <c r="A27" s="1" t="s">
        <v>264</v>
      </c>
      <c r="B27" s="19" t="s">
        <v>44</v>
      </c>
      <c r="C27" s="144" t="s">
        <v>45</v>
      </c>
      <c r="D27" s="145"/>
      <c r="E27" s="59" t="s">
        <v>265</v>
      </c>
      <c r="F27" s="62" t="s">
        <v>266</v>
      </c>
      <c r="G27" s="63"/>
      <c r="H27" s="37">
        <v>8</v>
      </c>
      <c r="I27" s="67" t="s">
        <v>46</v>
      </c>
      <c r="J27" s="68">
        <f>0.57/10^6</f>
        <v>5.6999999999999994E-7</v>
      </c>
      <c r="K27" s="102">
        <f>SUM(J27:J36)</f>
        <v>1.4249999999999999E-6</v>
      </c>
      <c r="L27" s="103"/>
      <c r="M27" s="68">
        <v>2</v>
      </c>
    </row>
    <row r="28" spans="1:13" ht="15" thickBot="1" x14ac:dyDescent="0.4">
      <c r="A28" s="29"/>
      <c r="B28" s="30"/>
      <c r="C28" s="144" t="s">
        <v>16</v>
      </c>
      <c r="D28" s="145"/>
      <c r="E28" s="59" t="s">
        <v>265</v>
      </c>
      <c r="F28" s="62" t="s">
        <v>266</v>
      </c>
      <c r="G28" s="63"/>
      <c r="H28" s="37">
        <v>10</v>
      </c>
      <c r="I28" s="67" t="s">
        <v>47</v>
      </c>
      <c r="J28" s="71"/>
      <c r="K28" s="105"/>
      <c r="L28" s="106"/>
      <c r="M28" s="71"/>
    </row>
    <row r="29" spans="1:13" x14ac:dyDescent="0.35">
      <c r="A29" s="29"/>
      <c r="B29" s="30"/>
      <c r="C29" s="134" t="s">
        <v>21</v>
      </c>
      <c r="D29" s="135"/>
      <c r="E29" s="19" t="s">
        <v>265</v>
      </c>
      <c r="F29" s="42" t="s">
        <v>266</v>
      </c>
      <c r="G29" s="43"/>
      <c r="H29" s="24">
        <v>10</v>
      </c>
      <c r="I29" s="67"/>
      <c r="J29" s="71"/>
      <c r="K29" s="105"/>
      <c r="L29" s="106"/>
      <c r="M29" s="71"/>
    </row>
    <row r="30" spans="1:13" ht="15" thickBot="1" x14ac:dyDescent="0.4">
      <c r="A30" s="29"/>
      <c r="B30" s="33"/>
      <c r="C30" s="136"/>
      <c r="D30" s="137"/>
      <c r="E30" s="33"/>
      <c r="F30" s="55"/>
      <c r="G30" s="56"/>
      <c r="H30" s="36"/>
      <c r="I30" s="59"/>
      <c r="J30" s="69"/>
      <c r="K30" s="105"/>
      <c r="L30" s="106"/>
      <c r="M30" s="71"/>
    </row>
    <row r="31" spans="1:13" ht="15" thickBot="1" x14ac:dyDescent="0.4">
      <c r="A31" s="29"/>
      <c r="B31" s="19" t="s">
        <v>48</v>
      </c>
      <c r="C31" s="146" t="s">
        <v>16</v>
      </c>
      <c r="D31" s="147"/>
      <c r="E31" s="59" t="s">
        <v>265</v>
      </c>
      <c r="F31" s="62" t="s">
        <v>266</v>
      </c>
      <c r="G31" s="63"/>
      <c r="H31" s="37">
        <v>10</v>
      </c>
      <c r="I31" s="67" t="s">
        <v>49</v>
      </c>
      <c r="J31" s="68">
        <f>0.855/10^6</f>
        <v>8.5499999999999997E-7</v>
      </c>
      <c r="K31" s="105"/>
      <c r="L31" s="106"/>
      <c r="M31" s="71"/>
    </row>
    <row r="32" spans="1:13" ht="15" thickBot="1" x14ac:dyDescent="0.4">
      <c r="A32" s="29"/>
      <c r="B32" s="30"/>
      <c r="C32" s="146" t="s">
        <v>21</v>
      </c>
      <c r="D32" s="147"/>
      <c r="E32" s="59" t="s">
        <v>265</v>
      </c>
      <c r="F32" s="65" t="s">
        <v>266</v>
      </c>
      <c r="G32" s="66"/>
      <c r="H32" s="37">
        <v>10</v>
      </c>
      <c r="I32" s="67" t="s">
        <v>50</v>
      </c>
      <c r="J32" s="71"/>
      <c r="K32" s="105"/>
      <c r="L32" s="106"/>
      <c r="M32" s="71"/>
    </row>
    <row r="33" spans="1:13" ht="15.75" customHeight="1" thickBot="1" x14ac:dyDescent="0.4">
      <c r="A33" s="29"/>
      <c r="B33" s="30"/>
      <c r="C33" s="146" t="s">
        <v>51</v>
      </c>
      <c r="D33" s="147"/>
      <c r="E33" s="59" t="s">
        <v>31</v>
      </c>
      <c r="F33" s="62"/>
      <c r="G33" s="63"/>
      <c r="H33" s="37">
        <v>7</v>
      </c>
      <c r="I33" s="59"/>
      <c r="J33" s="69"/>
      <c r="K33" s="105"/>
      <c r="L33" s="106"/>
      <c r="M33" s="71"/>
    </row>
    <row r="34" spans="1:13" ht="30.75" customHeight="1" x14ac:dyDescent="0.35">
      <c r="A34" s="29"/>
      <c r="B34" s="30"/>
      <c r="C34" s="148" t="s">
        <v>52</v>
      </c>
      <c r="D34" s="149"/>
      <c r="E34" s="19" t="s">
        <v>31</v>
      </c>
      <c r="F34" s="42"/>
      <c r="G34" s="43"/>
      <c r="H34" s="24">
        <v>8</v>
      </c>
      <c r="I34" s="19" t="s">
        <v>24</v>
      </c>
      <c r="J34" s="68"/>
      <c r="K34" s="105"/>
      <c r="L34" s="106"/>
      <c r="M34" s="71"/>
    </row>
    <row r="35" spans="1:13" ht="15" customHeight="1" x14ac:dyDescent="0.35">
      <c r="A35" s="29"/>
      <c r="B35" s="30"/>
      <c r="C35" s="151"/>
      <c r="D35" s="152"/>
      <c r="E35" s="30"/>
      <c r="F35" s="46"/>
      <c r="G35" s="47"/>
      <c r="H35" s="48"/>
      <c r="I35" s="30"/>
      <c r="J35" s="71"/>
      <c r="K35" s="105"/>
      <c r="L35" s="106"/>
      <c r="M35" s="71"/>
    </row>
    <row r="36" spans="1:13" ht="15" thickBot="1" x14ac:dyDescent="0.4">
      <c r="A36" s="10"/>
      <c r="B36" s="33"/>
      <c r="C36" s="154"/>
      <c r="D36" s="155"/>
      <c r="E36" s="33"/>
      <c r="F36" s="55"/>
      <c r="G36" s="56"/>
      <c r="H36" s="36"/>
      <c r="I36" s="33"/>
      <c r="J36" s="69"/>
      <c r="K36" s="109"/>
      <c r="L36" s="110"/>
      <c r="M36" s="69"/>
    </row>
    <row r="37" spans="1:13" ht="15.75" customHeight="1" x14ac:dyDescent="0.35">
      <c r="A37" s="1" t="s">
        <v>232</v>
      </c>
      <c r="B37" s="19"/>
      <c r="C37" s="134" t="s">
        <v>52</v>
      </c>
      <c r="D37" s="135"/>
      <c r="E37" s="19" t="s">
        <v>267</v>
      </c>
      <c r="F37" s="187"/>
      <c r="G37" s="188"/>
      <c r="H37" s="24">
        <v>4</v>
      </c>
      <c r="I37" s="19" t="s">
        <v>55</v>
      </c>
      <c r="J37" s="68">
        <f>2/10^6</f>
        <v>1.9999999999999999E-6</v>
      </c>
      <c r="K37" s="102">
        <f>SUM(J37:J47)</f>
        <v>1.6170000000000003E-5</v>
      </c>
      <c r="L37" s="103"/>
      <c r="M37" s="68">
        <v>2</v>
      </c>
    </row>
    <row r="38" spans="1:13" ht="15.75" customHeight="1" thickBot="1" x14ac:dyDescent="0.4">
      <c r="A38" s="29"/>
      <c r="B38" s="30"/>
      <c r="C38" s="136"/>
      <c r="D38" s="137"/>
      <c r="E38" s="33"/>
      <c r="F38" s="189"/>
      <c r="G38" s="190"/>
      <c r="H38" s="36"/>
      <c r="I38" s="33"/>
      <c r="J38" s="69"/>
      <c r="K38" s="105"/>
      <c r="L38" s="106"/>
      <c r="M38" s="71"/>
    </row>
    <row r="39" spans="1:13" ht="15.75" customHeight="1" x14ac:dyDescent="0.35">
      <c r="A39" s="29"/>
      <c r="B39" s="30"/>
      <c r="C39" s="134" t="s">
        <v>56</v>
      </c>
      <c r="D39" s="135"/>
      <c r="E39" s="19" t="s">
        <v>57</v>
      </c>
      <c r="F39" s="42"/>
      <c r="G39" s="43"/>
      <c r="H39" s="24">
        <v>7</v>
      </c>
      <c r="I39" s="19" t="s">
        <v>58</v>
      </c>
      <c r="J39" s="68">
        <f>4.02/10^6</f>
        <v>4.0199999999999996E-6</v>
      </c>
      <c r="K39" s="105"/>
      <c r="L39" s="106"/>
      <c r="M39" s="71"/>
    </row>
    <row r="40" spans="1:13" ht="15" customHeight="1" x14ac:dyDescent="0.35">
      <c r="A40" s="29"/>
      <c r="B40" s="30"/>
      <c r="C40" s="172"/>
      <c r="D40" s="173"/>
      <c r="E40" s="30"/>
      <c r="F40" s="46"/>
      <c r="G40" s="47"/>
      <c r="H40" s="48"/>
      <c r="I40" s="30"/>
      <c r="J40" s="71"/>
      <c r="K40" s="105"/>
      <c r="L40" s="106"/>
      <c r="M40" s="71"/>
    </row>
    <row r="41" spans="1:13" x14ac:dyDescent="0.35">
      <c r="A41" s="29"/>
      <c r="B41" s="30"/>
      <c r="C41" s="172"/>
      <c r="D41" s="173"/>
      <c r="E41" s="30"/>
      <c r="F41" s="46"/>
      <c r="G41" s="47"/>
      <c r="H41" s="48"/>
      <c r="I41" s="30"/>
      <c r="J41" s="71"/>
      <c r="K41" s="105"/>
      <c r="L41" s="106"/>
      <c r="M41" s="71"/>
    </row>
    <row r="42" spans="1:13" x14ac:dyDescent="0.35">
      <c r="A42" s="29"/>
      <c r="B42" s="30"/>
      <c r="C42" s="172"/>
      <c r="D42" s="173"/>
      <c r="E42" s="30"/>
      <c r="F42" s="46"/>
      <c r="G42" s="47"/>
      <c r="H42" s="48"/>
      <c r="I42" s="30"/>
      <c r="J42" s="71"/>
      <c r="K42" s="105"/>
      <c r="L42" s="106"/>
      <c r="M42" s="71"/>
    </row>
    <row r="43" spans="1:13" x14ac:dyDescent="0.35">
      <c r="A43" s="29"/>
      <c r="B43" s="30"/>
      <c r="C43" s="172"/>
      <c r="D43" s="173"/>
      <c r="E43" s="30"/>
      <c r="F43" s="46"/>
      <c r="G43" s="47"/>
      <c r="H43" s="48"/>
      <c r="I43" s="30"/>
      <c r="J43" s="71"/>
      <c r="K43" s="105"/>
      <c r="L43" s="106"/>
      <c r="M43" s="71"/>
    </row>
    <row r="44" spans="1:13" ht="15" thickBot="1" x14ac:dyDescent="0.4">
      <c r="A44" s="29"/>
      <c r="B44" s="30"/>
      <c r="C44" s="136"/>
      <c r="D44" s="137"/>
      <c r="E44" s="33"/>
      <c r="F44" s="55"/>
      <c r="G44" s="56"/>
      <c r="H44" s="36"/>
      <c r="I44" s="33"/>
      <c r="J44" s="69"/>
      <c r="K44" s="105"/>
      <c r="L44" s="106"/>
      <c r="M44" s="71"/>
    </row>
    <row r="45" spans="1:13" x14ac:dyDescent="0.35">
      <c r="A45" s="29"/>
      <c r="B45" s="30"/>
      <c r="C45" s="134" t="s">
        <v>59</v>
      </c>
      <c r="D45" s="135"/>
      <c r="E45" s="19" t="s">
        <v>60</v>
      </c>
      <c r="F45" s="42" t="s">
        <v>61</v>
      </c>
      <c r="G45" s="43"/>
      <c r="H45" s="24">
        <v>9</v>
      </c>
      <c r="I45" s="19" t="s">
        <v>62</v>
      </c>
      <c r="J45" s="68">
        <f>10.15/10^6</f>
        <v>1.0150000000000001E-5</v>
      </c>
      <c r="K45" s="105"/>
      <c r="L45" s="106"/>
      <c r="M45" s="71"/>
    </row>
    <row r="46" spans="1:13" ht="15" customHeight="1" x14ac:dyDescent="0.35">
      <c r="A46" s="29"/>
      <c r="B46" s="30"/>
      <c r="C46" s="172"/>
      <c r="D46" s="173"/>
      <c r="E46" s="30"/>
      <c r="F46" s="46"/>
      <c r="G46" s="47"/>
      <c r="H46" s="48"/>
      <c r="I46" s="30"/>
      <c r="J46" s="71"/>
      <c r="K46" s="105"/>
      <c r="L46" s="106"/>
      <c r="M46" s="71"/>
    </row>
    <row r="47" spans="1:13" ht="15" thickBot="1" x14ac:dyDescent="0.4">
      <c r="A47" s="10"/>
      <c r="B47" s="33"/>
      <c r="C47" s="136"/>
      <c r="D47" s="137"/>
      <c r="E47" s="33"/>
      <c r="F47" s="55"/>
      <c r="G47" s="56"/>
      <c r="H47" s="36"/>
      <c r="I47" s="33"/>
      <c r="J47" s="69"/>
      <c r="K47" s="109"/>
      <c r="L47" s="110"/>
      <c r="M47" s="69"/>
    </row>
    <row r="48" spans="1:13" ht="29.5" thickBot="1" x14ac:dyDescent="0.4">
      <c r="A48" s="1" t="s">
        <v>63</v>
      </c>
      <c r="B48" s="19" t="s">
        <v>64</v>
      </c>
      <c r="C48" s="146" t="s">
        <v>65</v>
      </c>
      <c r="D48" s="147"/>
      <c r="E48" s="59" t="s">
        <v>66</v>
      </c>
      <c r="F48" s="65"/>
      <c r="G48" s="66"/>
      <c r="H48" s="37">
        <v>6</v>
      </c>
      <c r="I48" s="67" t="s">
        <v>67</v>
      </c>
      <c r="J48" s="68">
        <f>2.23/10^6</f>
        <v>2.2299999999999998E-6</v>
      </c>
      <c r="K48" s="102">
        <f>SUM(J48:J53)</f>
        <v>2.2299999999999998E-6</v>
      </c>
      <c r="L48" s="103"/>
      <c r="M48" s="68">
        <v>2</v>
      </c>
    </row>
    <row r="49" spans="1:13" x14ac:dyDescent="0.35">
      <c r="A49" s="29"/>
      <c r="B49" s="30"/>
      <c r="C49" s="148" t="s">
        <v>68</v>
      </c>
      <c r="D49" s="149"/>
      <c r="E49" s="67" t="s">
        <v>69</v>
      </c>
      <c r="F49" s="22"/>
      <c r="G49" s="23"/>
      <c r="H49" s="24">
        <v>6</v>
      </c>
      <c r="I49" s="67" t="s">
        <v>70</v>
      </c>
      <c r="J49" s="71"/>
      <c r="K49" s="105"/>
      <c r="L49" s="106"/>
      <c r="M49" s="71"/>
    </row>
    <row r="50" spans="1:13" x14ac:dyDescent="0.35">
      <c r="A50" s="29"/>
      <c r="B50" s="30"/>
      <c r="C50" s="151"/>
      <c r="D50" s="152"/>
      <c r="E50" s="30" t="s">
        <v>71</v>
      </c>
      <c r="F50" s="72"/>
      <c r="G50" s="73"/>
      <c r="H50" s="48"/>
      <c r="I50" s="67"/>
      <c r="J50" s="71"/>
      <c r="K50" s="105"/>
      <c r="L50" s="106"/>
      <c r="M50" s="71"/>
    </row>
    <row r="51" spans="1:13" ht="15" thickBot="1" x14ac:dyDescent="0.4">
      <c r="A51" s="29"/>
      <c r="B51" s="30"/>
      <c r="C51" s="154"/>
      <c r="D51" s="155"/>
      <c r="E51" s="33"/>
      <c r="F51" s="34"/>
      <c r="G51" s="35"/>
      <c r="H51" s="36"/>
      <c r="I51" s="67"/>
      <c r="J51" s="71"/>
      <c r="K51" s="105"/>
      <c r="L51" s="106"/>
      <c r="M51" s="71"/>
    </row>
    <row r="52" spans="1:13" x14ac:dyDescent="0.35">
      <c r="A52" s="29"/>
      <c r="B52" s="30"/>
      <c r="C52" s="148" t="s">
        <v>72</v>
      </c>
      <c r="D52" s="149"/>
      <c r="E52" s="19" t="s">
        <v>73</v>
      </c>
      <c r="F52" s="22"/>
      <c r="G52" s="23"/>
      <c r="H52" s="24">
        <v>6</v>
      </c>
      <c r="I52" s="67"/>
      <c r="J52" s="71"/>
      <c r="K52" s="105"/>
      <c r="L52" s="106"/>
      <c r="M52" s="71"/>
    </row>
    <row r="53" spans="1:13" ht="30" customHeight="1" thickBot="1" x14ac:dyDescent="0.4">
      <c r="A53" s="29"/>
      <c r="B53" s="33"/>
      <c r="C53" s="154"/>
      <c r="D53" s="155"/>
      <c r="E53" s="33"/>
      <c r="F53" s="34"/>
      <c r="G53" s="35"/>
      <c r="H53" s="36"/>
      <c r="I53" s="59"/>
      <c r="J53" s="69"/>
      <c r="K53" s="109"/>
      <c r="L53" s="110"/>
      <c r="M53" s="69"/>
    </row>
    <row r="54" spans="1:13" ht="29.5" thickBot="1" x14ac:dyDescent="0.4">
      <c r="A54" s="29"/>
      <c r="B54" s="19" t="s">
        <v>74</v>
      </c>
      <c r="C54" s="146" t="s">
        <v>65</v>
      </c>
      <c r="D54" s="147"/>
      <c r="E54" s="59" t="s">
        <v>75</v>
      </c>
      <c r="F54" s="65"/>
      <c r="G54" s="66"/>
      <c r="H54" s="37">
        <v>5</v>
      </c>
      <c r="I54" s="67" t="s">
        <v>76</v>
      </c>
      <c r="J54" s="68">
        <f>5.3/10^6</f>
        <v>5.3000000000000001E-6</v>
      </c>
      <c r="K54" s="102">
        <f>SUM(J54:J55)</f>
        <v>5.3000000000000001E-6</v>
      </c>
      <c r="L54" s="103"/>
      <c r="M54" s="68">
        <v>2</v>
      </c>
    </row>
    <row r="55" spans="1:13" ht="45" customHeight="1" x14ac:dyDescent="0.35">
      <c r="A55" s="29"/>
      <c r="B55" s="30"/>
      <c r="C55" s="148" t="s">
        <v>68</v>
      </c>
      <c r="D55" s="149"/>
      <c r="E55" s="19" t="s">
        <v>77</v>
      </c>
      <c r="F55" s="22"/>
      <c r="G55" s="23"/>
      <c r="H55" s="24">
        <v>5</v>
      </c>
      <c r="I55" s="67" t="s">
        <v>78</v>
      </c>
      <c r="J55" s="71"/>
      <c r="K55" s="105"/>
      <c r="L55" s="106"/>
      <c r="M55" s="71"/>
    </row>
    <row r="56" spans="1:13" ht="30" customHeight="1" thickBot="1" x14ac:dyDescent="0.4">
      <c r="A56" s="29"/>
      <c r="B56" s="30"/>
      <c r="C56" s="154"/>
      <c r="D56" s="155"/>
      <c r="E56" s="33"/>
      <c r="F56" s="34"/>
      <c r="G56" s="35"/>
      <c r="H56" s="36"/>
      <c r="I56" s="67"/>
      <c r="J56" s="71"/>
      <c r="K56" s="105"/>
      <c r="L56" s="106"/>
      <c r="M56" s="71"/>
    </row>
    <row r="57" spans="1:13" ht="29.5" thickBot="1" x14ac:dyDescent="0.4">
      <c r="A57" s="29"/>
      <c r="B57" s="33"/>
      <c r="C57" s="146" t="s">
        <v>72</v>
      </c>
      <c r="D57" s="147"/>
      <c r="E57" s="59" t="s">
        <v>79</v>
      </c>
      <c r="F57" s="62"/>
      <c r="G57" s="63"/>
      <c r="H57" s="37">
        <v>6</v>
      </c>
      <c r="I57" s="59"/>
      <c r="J57" s="69"/>
      <c r="K57" s="109"/>
      <c r="L57" s="110"/>
      <c r="M57" s="69"/>
    </row>
    <row r="58" spans="1:13" x14ac:dyDescent="0.35">
      <c r="A58" s="29"/>
      <c r="B58" s="19" t="s">
        <v>80</v>
      </c>
      <c r="C58" s="148" t="s">
        <v>65</v>
      </c>
      <c r="D58" s="149"/>
      <c r="E58" s="19" t="s">
        <v>81</v>
      </c>
      <c r="F58" s="42"/>
      <c r="G58" s="43"/>
      <c r="H58" s="24">
        <v>5</v>
      </c>
      <c r="I58" s="67" t="s">
        <v>82</v>
      </c>
      <c r="J58" s="68">
        <f>0.46/10^6</f>
        <v>4.6000000000000004E-7</v>
      </c>
      <c r="K58" s="102">
        <f>SUM(J58:J63)</f>
        <v>1.0850000000000001E-5</v>
      </c>
      <c r="L58" s="103"/>
      <c r="M58" s="68">
        <v>2</v>
      </c>
    </row>
    <row r="59" spans="1:13" ht="15" thickBot="1" x14ac:dyDescent="0.4">
      <c r="A59" s="29"/>
      <c r="B59" s="30"/>
      <c r="C59" s="154"/>
      <c r="D59" s="155"/>
      <c r="E59" s="33"/>
      <c r="F59" s="55"/>
      <c r="G59" s="56"/>
      <c r="H59" s="36"/>
      <c r="I59" s="59" t="s">
        <v>83</v>
      </c>
      <c r="J59" s="69"/>
      <c r="K59" s="105"/>
      <c r="L59" s="106"/>
      <c r="M59" s="71"/>
    </row>
    <row r="60" spans="1:13" x14ac:dyDescent="0.35">
      <c r="A60" s="29"/>
      <c r="B60" s="30"/>
      <c r="C60" s="148" t="s">
        <v>84</v>
      </c>
      <c r="D60" s="149"/>
      <c r="E60" s="19" t="s">
        <v>85</v>
      </c>
      <c r="F60" s="42"/>
      <c r="G60" s="43"/>
      <c r="H60" s="24">
        <v>5</v>
      </c>
      <c r="I60" s="67" t="s">
        <v>86</v>
      </c>
      <c r="J60" s="68">
        <f>9.93/10^6</f>
        <v>9.9299999999999998E-6</v>
      </c>
      <c r="K60" s="105"/>
      <c r="L60" s="106"/>
      <c r="M60" s="71"/>
    </row>
    <row r="61" spans="1:13" ht="30" customHeight="1" thickBot="1" x14ac:dyDescent="0.4">
      <c r="A61" s="29"/>
      <c r="B61" s="30"/>
      <c r="C61" s="154"/>
      <c r="D61" s="155"/>
      <c r="E61" s="33"/>
      <c r="F61" s="55"/>
      <c r="G61" s="56"/>
      <c r="H61" s="36"/>
      <c r="I61" s="59" t="s">
        <v>83</v>
      </c>
      <c r="J61" s="69"/>
      <c r="K61" s="105"/>
      <c r="L61" s="106"/>
      <c r="M61" s="71"/>
    </row>
    <row r="62" spans="1:13" ht="30" customHeight="1" x14ac:dyDescent="0.35">
      <c r="A62" s="29"/>
      <c r="B62" s="30"/>
      <c r="C62" s="148" t="s">
        <v>72</v>
      </c>
      <c r="D62" s="149"/>
      <c r="E62" s="19" t="s">
        <v>87</v>
      </c>
      <c r="F62" s="42"/>
      <c r="G62" s="43"/>
      <c r="H62" s="24">
        <v>5</v>
      </c>
      <c r="I62" s="67" t="s">
        <v>82</v>
      </c>
      <c r="J62" s="68">
        <f>0.46/10^6</f>
        <v>4.6000000000000004E-7</v>
      </c>
      <c r="K62" s="105"/>
      <c r="L62" s="106"/>
      <c r="M62" s="71"/>
    </row>
    <row r="63" spans="1:13" ht="15" thickBot="1" x14ac:dyDescent="0.4">
      <c r="A63" s="29"/>
      <c r="B63" s="33"/>
      <c r="C63" s="154"/>
      <c r="D63" s="155"/>
      <c r="E63" s="33"/>
      <c r="F63" s="55"/>
      <c r="G63" s="56"/>
      <c r="H63" s="36"/>
      <c r="I63" s="59" t="s">
        <v>83</v>
      </c>
      <c r="J63" s="69"/>
      <c r="K63" s="109"/>
      <c r="L63" s="110"/>
      <c r="M63" s="69"/>
    </row>
    <row r="64" spans="1:13" x14ac:dyDescent="0.35">
      <c r="A64" s="29"/>
      <c r="B64" s="19" t="s">
        <v>88</v>
      </c>
      <c r="C64" s="148" t="s">
        <v>65</v>
      </c>
      <c r="D64" s="149"/>
      <c r="E64" s="19" t="s">
        <v>89</v>
      </c>
      <c r="F64" s="42"/>
      <c r="G64" s="43"/>
      <c r="H64" s="24">
        <v>5</v>
      </c>
      <c r="I64" s="67" t="s">
        <v>90</v>
      </c>
      <c r="J64" s="68">
        <f>2.65/10^6</f>
        <v>2.65E-6</v>
      </c>
      <c r="K64" s="102">
        <f>SUM(J64:J73)</f>
        <v>4.6199999999999998E-6</v>
      </c>
      <c r="L64" s="103"/>
      <c r="M64" s="68">
        <v>2</v>
      </c>
    </row>
    <row r="65" spans="1:13" ht="15" thickBot="1" x14ac:dyDescent="0.4">
      <c r="A65" s="29"/>
      <c r="B65" s="30"/>
      <c r="C65" s="154"/>
      <c r="D65" s="155"/>
      <c r="E65" s="33"/>
      <c r="F65" s="55"/>
      <c r="G65" s="56"/>
      <c r="H65" s="36"/>
      <c r="I65" s="59" t="s">
        <v>91</v>
      </c>
      <c r="J65" s="69"/>
      <c r="K65" s="105"/>
      <c r="L65" s="106"/>
      <c r="M65" s="71"/>
    </row>
    <row r="66" spans="1:13" x14ac:dyDescent="0.35">
      <c r="A66" s="29"/>
      <c r="B66" s="30"/>
      <c r="C66" s="148" t="s">
        <v>68</v>
      </c>
      <c r="D66" s="149"/>
      <c r="E66" s="67" t="s">
        <v>92</v>
      </c>
      <c r="F66" s="22"/>
      <c r="G66" s="23"/>
      <c r="H66" s="24">
        <v>5</v>
      </c>
      <c r="I66" s="67" t="s">
        <v>93</v>
      </c>
      <c r="J66" s="68">
        <f>0.68/10^6</f>
        <v>6.8000000000000005E-7</v>
      </c>
      <c r="K66" s="105"/>
      <c r="L66" s="106"/>
      <c r="M66" s="71"/>
    </row>
    <row r="67" spans="1:13" ht="29" x14ac:dyDescent="0.35">
      <c r="A67" s="29"/>
      <c r="B67" s="30"/>
      <c r="C67" s="151"/>
      <c r="D67" s="152"/>
      <c r="E67" s="74" t="s">
        <v>268</v>
      </c>
      <c r="F67" s="72"/>
      <c r="G67" s="73"/>
      <c r="H67" s="48"/>
      <c r="I67" s="67" t="s">
        <v>91</v>
      </c>
      <c r="J67" s="71"/>
      <c r="K67" s="105"/>
      <c r="L67" s="106"/>
      <c r="M67" s="71"/>
    </row>
    <row r="68" spans="1:13" x14ac:dyDescent="0.35">
      <c r="A68" s="29"/>
      <c r="B68" s="30"/>
      <c r="C68" s="151"/>
      <c r="D68" s="152"/>
      <c r="E68" s="29" t="s">
        <v>269</v>
      </c>
      <c r="F68" s="72"/>
      <c r="G68" s="73"/>
      <c r="H68" s="48"/>
      <c r="I68" s="67"/>
      <c r="J68" s="71"/>
      <c r="K68" s="105"/>
      <c r="L68" s="106"/>
      <c r="M68" s="71"/>
    </row>
    <row r="69" spans="1:13" ht="15" thickBot="1" x14ac:dyDescent="0.4">
      <c r="A69" s="29"/>
      <c r="B69" s="30"/>
      <c r="C69" s="154"/>
      <c r="D69" s="155"/>
      <c r="E69" s="10"/>
      <c r="F69" s="34"/>
      <c r="G69" s="35"/>
      <c r="H69" s="36"/>
      <c r="I69" s="59"/>
      <c r="J69" s="69"/>
      <c r="K69" s="105"/>
      <c r="L69" s="106"/>
      <c r="M69" s="71"/>
    </row>
    <row r="70" spans="1:13" x14ac:dyDescent="0.35">
      <c r="A70" s="29"/>
      <c r="B70" s="30"/>
      <c r="C70" s="148" t="s">
        <v>72</v>
      </c>
      <c r="D70" s="149"/>
      <c r="E70" s="67" t="s">
        <v>96</v>
      </c>
      <c r="F70" s="22"/>
      <c r="G70" s="23"/>
      <c r="H70" s="24">
        <v>5</v>
      </c>
      <c r="I70" s="67" t="s">
        <v>97</v>
      </c>
      <c r="J70" s="68">
        <f>1.29/10^6</f>
        <v>1.2899999999999999E-6</v>
      </c>
      <c r="K70" s="105"/>
      <c r="L70" s="106"/>
      <c r="M70" s="71"/>
    </row>
    <row r="71" spans="1:13" x14ac:dyDescent="0.35">
      <c r="A71" s="29"/>
      <c r="B71" s="30"/>
      <c r="C71" s="151"/>
      <c r="D71" s="152"/>
      <c r="E71" s="29" t="s">
        <v>270</v>
      </c>
      <c r="F71" s="72"/>
      <c r="G71" s="73"/>
      <c r="H71" s="48"/>
      <c r="I71" s="67" t="s">
        <v>99</v>
      </c>
      <c r="J71" s="71"/>
      <c r="K71" s="105"/>
      <c r="L71" s="106"/>
      <c r="M71" s="71"/>
    </row>
    <row r="72" spans="1:13" x14ac:dyDescent="0.35">
      <c r="A72" s="29"/>
      <c r="B72" s="30"/>
      <c r="C72" s="151"/>
      <c r="D72" s="152"/>
      <c r="E72" s="29"/>
      <c r="F72" s="72"/>
      <c r="G72" s="73"/>
      <c r="H72" s="48"/>
      <c r="I72" s="67"/>
      <c r="J72" s="71"/>
      <c r="K72" s="105"/>
      <c r="L72" s="106"/>
      <c r="M72" s="71"/>
    </row>
    <row r="73" spans="1:13" ht="15" thickBot="1" x14ac:dyDescent="0.4">
      <c r="A73" s="10"/>
      <c r="B73" s="33"/>
      <c r="C73" s="154"/>
      <c r="D73" s="155"/>
      <c r="E73" s="10"/>
      <c r="F73" s="34"/>
      <c r="G73" s="35"/>
      <c r="H73" s="36"/>
      <c r="I73" s="59"/>
      <c r="J73" s="69"/>
      <c r="K73" s="109"/>
      <c r="L73" s="110"/>
      <c r="M73" s="69"/>
    </row>
    <row r="74" spans="1:13" ht="15" thickBot="1" x14ac:dyDescent="0.4">
      <c r="A74" s="6" t="s">
        <v>100</v>
      </c>
      <c r="B74" s="19" t="s">
        <v>28</v>
      </c>
      <c r="C74" s="146" t="s">
        <v>101</v>
      </c>
      <c r="D74" s="147"/>
      <c r="E74" s="59" t="s">
        <v>265</v>
      </c>
      <c r="F74" s="62"/>
      <c r="G74" s="63"/>
      <c r="H74" s="37">
        <v>7</v>
      </c>
      <c r="I74" s="37" t="s">
        <v>103</v>
      </c>
      <c r="J74" s="64">
        <f>12.45/10^6</f>
        <v>1.2449999999999999E-5</v>
      </c>
      <c r="K74" s="102">
        <f>SUM(J74:J80)</f>
        <v>6.3650000000000002E-5</v>
      </c>
      <c r="L74" s="103"/>
      <c r="M74" s="68">
        <v>3</v>
      </c>
    </row>
    <row r="75" spans="1:13" ht="15" thickBot="1" x14ac:dyDescent="0.4">
      <c r="A75" s="119"/>
      <c r="B75" s="33"/>
      <c r="C75" s="146" t="s">
        <v>104</v>
      </c>
      <c r="D75" s="147"/>
      <c r="E75" s="59" t="s">
        <v>38</v>
      </c>
      <c r="F75" s="62"/>
      <c r="G75" s="63"/>
      <c r="H75" s="37">
        <v>8</v>
      </c>
      <c r="I75" s="37" t="s">
        <v>105</v>
      </c>
      <c r="J75" s="64">
        <f>24.22/10^6</f>
        <v>2.4219999999999999E-5</v>
      </c>
      <c r="K75" s="105"/>
      <c r="L75" s="106"/>
      <c r="M75" s="71"/>
    </row>
    <row r="76" spans="1:13" ht="29.5" thickBot="1" x14ac:dyDescent="0.4">
      <c r="A76" s="119"/>
      <c r="B76" s="59" t="s">
        <v>30</v>
      </c>
      <c r="C76" s="146" t="s">
        <v>21</v>
      </c>
      <c r="D76" s="147"/>
      <c r="E76" s="59" t="s">
        <v>271</v>
      </c>
      <c r="F76" s="76"/>
      <c r="G76" s="77"/>
      <c r="H76" s="37">
        <v>7</v>
      </c>
      <c r="I76" s="37" t="s">
        <v>107</v>
      </c>
      <c r="J76" s="64">
        <f>3.02/10^6</f>
        <v>3.0199999999999999E-6</v>
      </c>
      <c r="K76" s="105"/>
      <c r="L76" s="106"/>
      <c r="M76" s="71"/>
    </row>
    <row r="77" spans="1:13" x14ac:dyDescent="0.35">
      <c r="A77" s="119"/>
      <c r="B77" s="19" t="s">
        <v>33</v>
      </c>
      <c r="C77" s="148" t="s">
        <v>34</v>
      </c>
      <c r="D77" s="149"/>
      <c r="E77" s="67" t="s">
        <v>35</v>
      </c>
      <c r="F77" s="22" t="s">
        <v>36</v>
      </c>
      <c r="G77" s="23"/>
      <c r="H77" s="24">
        <v>3</v>
      </c>
      <c r="I77" s="24" t="s">
        <v>108</v>
      </c>
      <c r="J77" s="68">
        <f>11.36/10^6</f>
        <v>1.136E-5</v>
      </c>
      <c r="K77" s="105"/>
      <c r="L77" s="106"/>
      <c r="M77" s="71"/>
    </row>
    <row r="78" spans="1:13" ht="15" thickBot="1" x14ac:dyDescent="0.4">
      <c r="A78" s="119"/>
      <c r="B78" s="30"/>
      <c r="C78" s="154"/>
      <c r="D78" s="155"/>
      <c r="E78" s="59" t="s">
        <v>109</v>
      </c>
      <c r="F78" s="34"/>
      <c r="G78" s="35"/>
      <c r="H78" s="36"/>
      <c r="I78" s="36"/>
      <c r="J78" s="69"/>
      <c r="K78" s="105"/>
      <c r="L78" s="106"/>
      <c r="M78" s="71"/>
    </row>
    <row r="79" spans="1:13" ht="29.5" thickBot="1" x14ac:dyDescent="0.4">
      <c r="A79" s="119"/>
      <c r="B79" s="33"/>
      <c r="C79" s="146" t="s">
        <v>39</v>
      </c>
      <c r="D79" s="147"/>
      <c r="E79" s="59" t="s">
        <v>272</v>
      </c>
      <c r="F79" s="65"/>
      <c r="G79" s="66"/>
      <c r="H79" s="37">
        <v>6</v>
      </c>
      <c r="I79" s="37" t="s">
        <v>111</v>
      </c>
      <c r="J79" s="64">
        <f>6.52/10^6</f>
        <v>6.5199999999999994E-6</v>
      </c>
      <c r="K79" s="105"/>
      <c r="L79" s="106"/>
      <c r="M79" s="71"/>
    </row>
    <row r="80" spans="1:13" ht="29.5" thickBot="1" x14ac:dyDescent="0.4">
      <c r="A80" s="15"/>
      <c r="B80" s="59" t="s">
        <v>41</v>
      </c>
      <c r="C80" s="146" t="s">
        <v>39</v>
      </c>
      <c r="D80" s="147"/>
      <c r="E80" s="59" t="s">
        <v>273</v>
      </c>
      <c r="F80" s="76"/>
      <c r="G80" s="77"/>
      <c r="H80" s="37">
        <v>6</v>
      </c>
      <c r="I80" s="37" t="s">
        <v>113</v>
      </c>
      <c r="J80" s="64">
        <f>6.08/10^6</f>
        <v>6.0800000000000002E-6</v>
      </c>
      <c r="K80" s="109"/>
      <c r="L80" s="110"/>
      <c r="M80" s="69"/>
    </row>
    <row r="81" spans="1:13" ht="15" thickBot="1" x14ac:dyDescent="0.4">
      <c r="A81" s="1" t="s">
        <v>114</v>
      </c>
      <c r="B81" s="19" t="s">
        <v>114</v>
      </c>
      <c r="C81" s="146" t="s">
        <v>34</v>
      </c>
      <c r="D81" s="147"/>
      <c r="E81" s="59" t="s">
        <v>115</v>
      </c>
      <c r="F81" s="62"/>
      <c r="G81" s="63"/>
      <c r="H81" s="37">
        <v>5</v>
      </c>
      <c r="I81" s="67" t="s">
        <v>116</v>
      </c>
      <c r="J81" s="68">
        <f>1/(14.2012*10^6)</f>
        <v>7.0416584513984728E-8</v>
      </c>
      <c r="K81" s="102">
        <f>SUM(J81:J84)</f>
        <v>7.0416584513984728E-8</v>
      </c>
      <c r="L81" s="103"/>
      <c r="M81" s="68">
        <v>1</v>
      </c>
    </row>
    <row r="82" spans="1:13" x14ac:dyDescent="0.35">
      <c r="A82" s="29"/>
      <c r="B82" s="30"/>
      <c r="C82" s="134" t="s">
        <v>117</v>
      </c>
      <c r="D82" s="135"/>
      <c r="E82" s="19" t="s">
        <v>118</v>
      </c>
      <c r="F82" s="22"/>
      <c r="G82" s="23"/>
      <c r="H82" s="24">
        <v>7</v>
      </c>
      <c r="I82" s="67" t="s">
        <v>119</v>
      </c>
      <c r="J82" s="71"/>
      <c r="K82" s="105"/>
      <c r="L82" s="106"/>
      <c r="M82" s="71"/>
    </row>
    <row r="83" spans="1:13" ht="15" thickBot="1" x14ac:dyDescent="0.4">
      <c r="A83" s="29"/>
      <c r="B83" s="30"/>
      <c r="C83" s="136"/>
      <c r="D83" s="137"/>
      <c r="E83" s="33"/>
      <c r="F83" s="34"/>
      <c r="G83" s="35"/>
      <c r="H83" s="36"/>
      <c r="I83" s="67" t="s">
        <v>120</v>
      </c>
      <c r="J83" s="71"/>
      <c r="K83" s="105"/>
      <c r="L83" s="106"/>
      <c r="M83" s="71"/>
    </row>
    <row r="84" spans="1:13" ht="15" thickBot="1" x14ac:dyDescent="0.4">
      <c r="A84" s="10"/>
      <c r="B84" s="33"/>
      <c r="C84" s="146" t="s">
        <v>52</v>
      </c>
      <c r="D84" s="147"/>
      <c r="E84" s="59" t="s">
        <v>121</v>
      </c>
      <c r="F84" s="62"/>
      <c r="G84" s="63"/>
      <c r="H84" s="37">
        <v>5</v>
      </c>
      <c r="I84" s="59"/>
      <c r="J84" s="69"/>
      <c r="K84" s="109"/>
      <c r="L84" s="110"/>
      <c r="M84" s="69"/>
    </row>
    <row r="85" spans="1:13" ht="15" thickBot="1" x14ac:dyDescent="0.4">
      <c r="A85" s="78" t="s">
        <v>122</v>
      </c>
      <c r="B85" s="68" t="s">
        <v>123</v>
      </c>
      <c r="C85" s="191" t="s">
        <v>274</v>
      </c>
      <c r="D85" s="192"/>
      <c r="E85" s="101" t="s">
        <v>38</v>
      </c>
      <c r="F85" s="82"/>
      <c r="G85" s="83"/>
      <c r="H85" s="84">
        <v>8</v>
      </c>
      <c r="I85" s="68">
        <f>J85</f>
        <v>5.7100000000000006E-5</v>
      </c>
      <c r="J85" s="68">
        <f>5.71*10^(-5)</f>
        <v>5.7100000000000006E-5</v>
      </c>
      <c r="K85" s="102">
        <f>J85</f>
        <v>5.7100000000000006E-5</v>
      </c>
      <c r="L85" s="103"/>
      <c r="M85" s="68">
        <v>3</v>
      </c>
    </row>
    <row r="86" spans="1:13" ht="15" thickBot="1" x14ac:dyDescent="0.4">
      <c r="A86" s="85"/>
      <c r="B86" s="69"/>
      <c r="C86" s="191" t="s">
        <v>117</v>
      </c>
      <c r="D86" s="192"/>
      <c r="E86" s="101" t="s">
        <v>38</v>
      </c>
      <c r="F86" s="82"/>
      <c r="G86" s="83"/>
      <c r="H86" s="84">
        <v>9</v>
      </c>
      <c r="I86" s="69"/>
      <c r="J86" s="69"/>
      <c r="K86" s="109"/>
      <c r="L86" s="110"/>
      <c r="M86" s="69"/>
    </row>
    <row r="87" spans="1:13" x14ac:dyDescent="0.35">
      <c r="A87" s="78" t="s">
        <v>275</v>
      </c>
      <c r="B87" s="68" t="s">
        <v>126</v>
      </c>
      <c r="C87" s="102" t="s">
        <v>21</v>
      </c>
      <c r="D87" s="103"/>
      <c r="E87" s="19" t="s">
        <v>276</v>
      </c>
      <c r="F87" s="88"/>
      <c r="G87" s="89"/>
      <c r="H87" s="26">
        <v>10</v>
      </c>
      <c r="I87" s="193" t="s">
        <v>128</v>
      </c>
      <c r="J87" s="68">
        <f>1/26300</f>
        <v>3.8022813688212928E-5</v>
      </c>
      <c r="K87" s="102">
        <f>J87</f>
        <v>3.8022813688212928E-5</v>
      </c>
      <c r="L87" s="103"/>
      <c r="M87" s="68">
        <v>2</v>
      </c>
    </row>
    <row r="88" spans="1:13" ht="15" thickBot="1" x14ac:dyDescent="0.4">
      <c r="A88" s="85"/>
      <c r="B88" s="69"/>
      <c r="C88" s="109"/>
      <c r="D88" s="110"/>
      <c r="E88" s="33"/>
      <c r="F88" s="94"/>
      <c r="G88" s="95"/>
      <c r="H88" s="38"/>
      <c r="I88" s="194" t="s">
        <v>129</v>
      </c>
      <c r="J88" s="69"/>
      <c r="K88" s="109"/>
      <c r="L88" s="110"/>
      <c r="M88" s="69"/>
    </row>
    <row r="89" spans="1:13" ht="29.5" thickBot="1" x14ac:dyDescent="0.4">
      <c r="A89" s="78" t="s">
        <v>277</v>
      </c>
      <c r="B89" s="195"/>
      <c r="C89" s="180" t="s">
        <v>278</v>
      </c>
      <c r="D89" s="181"/>
      <c r="E89" s="101" t="s">
        <v>279</v>
      </c>
      <c r="F89" s="99"/>
      <c r="G89" s="100"/>
      <c r="H89" s="196">
        <v>8</v>
      </c>
      <c r="I89" s="68" t="s">
        <v>280</v>
      </c>
      <c r="J89" s="68">
        <f>1/(3*365*24)</f>
        <v>3.8051750380517507E-5</v>
      </c>
      <c r="K89" s="102">
        <f>SUM(J89)</f>
        <v>3.8051750380517507E-5</v>
      </c>
      <c r="L89" s="103"/>
      <c r="M89" s="68">
        <v>2</v>
      </c>
    </row>
    <row r="90" spans="1:13" ht="29.5" thickBot="1" x14ac:dyDescent="0.4">
      <c r="A90" s="85"/>
      <c r="B90" s="197"/>
      <c r="C90" s="180" t="s">
        <v>21</v>
      </c>
      <c r="D90" s="181"/>
      <c r="E90" s="198" t="s">
        <v>281</v>
      </c>
      <c r="F90" s="82"/>
      <c r="G90" s="83"/>
      <c r="H90" s="196">
        <v>10</v>
      </c>
      <c r="I90" s="69"/>
      <c r="J90" s="69"/>
      <c r="K90" s="109"/>
      <c r="L90" s="110"/>
      <c r="M90" s="69"/>
    </row>
    <row r="91" spans="1:13" ht="15" thickBot="1" x14ac:dyDescent="0.4">
      <c r="A91" s="1" t="s">
        <v>130</v>
      </c>
      <c r="B91" s="19" t="s">
        <v>131</v>
      </c>
      <c r="C91" s="144" t="s">
        <v>158</v>
      </c>
      <c r="D91" s="145"/>
      <c r="E91" s="98" t="s">
        <v>133</v>
      </c>
      <c r="F91" s="99"/>
      <c r="G91" s="100"/>
      <c r="H91" s="64">
        <v>4</v>
      </c>
      <c r="I91" s="101" t="s">
        <v>134</v>
      </c>
      <c r="J91" s="64">
        <f>1.36/10^6</f>
        <v>1.3600000000000001E-6</v>
      </c>
      <c r="K91" s="102">
        <f>SUM(J91:J94)</f>
        <v>1.1589999999999999E-5</v>
      </c>
      <c r="L91" s="103"/>
      <c r="M91" s="68">
        <v>2</v>
      </c>
    </row>
    <row r="92" spans="1:13" ht="29.5" thickBot="1" x14ac:dyDescent="0.4">
      <c r="A92" s="29"/>
      <c r="B92" s="30"/>
      <c r="C92" s="144" t="s">
        <v>160</v>
      </c>
      <c r="D92" s="145"/>
      <c r="E92" s="104" t="s">
        <v>136</v>
      </c>
      <c r="F92" s="99"/>
      <c r="G92" s="100"/>
      <c r="H92" s="64">
        <v>4</v>
      </c>
      <c r="I92" s="101" t="s">
        <v>137</v>
      </c>
      <c r="J92" s="64">
        <f>2.36/10^6</f>
        <v>2.3599999999999999E-6</v>
      </c>
      <c r="K92" s="105"/>
      <c r="L92" s="106"/>
      <c r="M92" s="71"/>
    </row>
    <row r="93" spans="1:13" ht="15" thickBot="1" x14ac:dyDescent="0.4">
      <c r="A93" s="29"/>
      <c r="B93" s="30"/>
      <c r="C93" s="180" t="s">
        <v>138</v>
      </c>
      <c r="D93" s="181"/>
      <c r="E93" s="98" t="s">
        <v>262</v>
      </c>
      <c r="F93" s="99"/>
      <c r="G93" s="100"/>
      <c r="H93" s="64">
        <v>2</v>
      </c>
      <c r="I93" s="101" t="s">
        <v>139</v>
      </c>
      <c r="J93" s="64">
        <f>1.91/10^6</f>
        <v>1.9099999999999999E-6</v>
      </c>
      <c r="K93" s="105"/>
      <c r="L93" s="106"/>
      <c r="M93" s="71"/>
    </row>
    <row r="94" spans="1:13" ht="15" thickBot="1" x14ac:dyDescent="0.4">
      <c r="A94" s="29"/>
      <c r="B94" s="33"/>
      <c r="C94" s="180" t="s">
        <v>140</v>
      </c>
      <c r="D94" s="181"/>
      <c r="E94" s="98" t="s">
        <v>141</v>
      </c>
      <c r="F94" s="99"/>
      <c r="G94" s="100"/>
      <c r="H94" s="64">
        <v>4</v>
      </c>
      <c r="I94" s="64" t="s">
        <v>142</v>
      </c>
      <c r="J94" s="64">
        <f>5.96/10^6</f>
        <v>5.9599999999999997E-6</v>
      </c>
      <c r="K94" s="109"/>
      <c r="L94" s="110"/>
      <c r="M94" s="69"/>
    </row>
    <row r="95" spans="1:13" ht="15" thickBot="1" x14ac:dyDescent="0.4">
      <c r="A95" s="29"/>
      <c r="B95" s="19" t="s">
        <v>143</v>
      </c>
      <c r="C95" s="144" t="s">
        <v>158</v>
      </c>
      <c r="D95" s="145"/>
      <c r="E95" s="98" t="s">
        <v>133</v>
      </c>
      <c r="F95" s="99"/>
      <c r="G95" s="100"/>
      <c r="H95" s="64">
        <v>4</v>
      </c>
      <c r="I95" s="64" t="s">
        <v>144</v>
      </c>
      <c r="J95" s="64">
        <f>2.41/10^6</f>
        <v>2.4100000000000002E-6</v>
      </c>
      <c r="K95" s="102">
        <f>SUM(J95:J98)</f>
        <v>1.5679999999999999E-5</v>
      </c>
      <c r="L95" s="103"/>
      <c r="M95" s="68">
        <v>2</v>
      </c>
    </row>
    <row r="96" spans="1:13" ht="29.5" thickBot="1" x14ac:dyDescent="0.4">
      <c r="A96" s="29"/>
      <c r="B96" s="30"/>
      <c r="C96" s="144" t="s">
        <v>160</v>
      </c>
      <c r="D96" s="145"/>
      <c r="E96" s="104" t="s">
        <v>136</v>
      </c>
      <c r="F96" s="99"/>
      <c r="G96" s="100"/>
      <c r="H96" s="64">
        <v>4</v>
      </c>
      <c r="I96" s="64" t="s">
        <v>145</v>
      </c>
      <c r="J96" s="64">
        <f>5.18/10^6</f>
        <v>5.1799999999999995E-6</v>
      </c>
      <c r="K96" s="105"/>
      <c r="L96" s="106"/>
      <c r="M96" s="71"/>
    </row>
    <row r="97" spans="1:15" ht="15" thickBot="1" x14ac:dyDescent="0.4">
      <c r="A97" s="29"/>
      <c r="B97" s="30"/>
      <c r="C97" s="180" t="s">
        <v>138</v>
      </c>
      <c r="D97" s="181"/>
      <c r="E97" s="98" t="s">
        <v>102</v>
      </c>
      <c r="F97" s="82"/>
      <c r="G97" s="83"/>
      <c r="H97" s="64">
        <v>10</v>
      </c>
      <c r="I97" s="64" t="s">
        <v>146</v>
      </c>
      <c r="J97" s="64">
        <f>(1.54+0.28)/10^6</f>
        <v>1.8200000000000002E-6</v>
      </c>
      <c r="K97" s="105"/>
      <c r="L97" s="106"/>
      <c r="M97" s="71"/>
    </row>
    <row r="98" spans="1:15" ht="15" thickBot="1" x14ac:dyDescent="0.4">
      <c r="A98" s="29"/>
      <c r="B98" s="33"/>
      <c r="C98" s="180" t="s">
        <v>140</v>
      </c>
      <c r="D98" s="181"/>
      <c r="E98" s="98" t="s">
        <v>141</v>
      </c>
      <c r="F98" s="99"/>
      <c r="G98" s="100"/>
      <c r="H98" s="64">
        <v>4</v>
      </c>
      <c r="I98" s="64" t="s">
        <v>147</v>
      </c>
      <c r="J98" s="64">
        <f>6.27/10^6</f>
        <v>6.2699999999999993E-6</v>
      </c>
      <c r="K98" s="109"/>
      <c r="L98" s="110"/>
      <c r="M98" s="69"/>
    </row>
    <row r="99" spans="1:15" ht="15" thickBot="1" x14ac:dyDescent="0.4">
      <c r="A99" s="29"/>
      <c r="B99" s="19" t="s">
        <v>148</v>
      </c>
      <c r="C99" s="144" t="s">
        <v>158</v>
      </c>
      <c r="D99" s="145"/>
      <c r="E99" s="98" t="s">
        <v>149</v>
      </c>
      <c r="F99" s="82"/>
      <c r="G99" s="83"/>
      <c r="H99" s="64">
        <v>4</v>
      </c>
      <c r="I99" s="64" t="s">
        <v>150</v>
      </c>
      <c r="J99" s="64">
        <f>3.81/10^6</f>
        <v>3.8099999999999999E-6</v>
      </c>
      <c r="K99" s="102">
        <f>SUM(J99:J102)</f>
        <v>7.0849999999999991E-6</v>
      </c>
      <c r="L99" s="111"/>
      <c r="M99" s="68">
        <v>1</v>
      </c>
    </row>
    <row r="100" spans="1:15" ht="34.5" customHeight="1" thickBot="1" x14ac:dyDescent="0.4">
      <c r="A100" s="29"/>
      <c r="B100" s="30"/>
      <c r="C100" s="144" t="s">
        <v>160</v>
      </c>
      <c r="D100" s="145"/>
      <c r="E100" s="104" t="s">
        <v>151</v>
      </c>
      <c r="F100" s="99"/>
      <c r="G100" s="100"/>
      <c r="H100" s="64">
        <v>4</v>
      </c>
      <c r="I100" s="64" t="s">
        <v>152</v>
      </c>
      <c r="J100" s="64">
        <f>3.03/10^6</f>
        <v>3.0299999999999998E-6</v>
      </c>
      <c r="K100" s="105"/>
      <c r="L100" s="112"/>
      <c r="M100" s="71"/>
    </row>
    <row r="101" spans="1:15" ht="15" thickBot="1" x14ac:dyDescent="0.4">
      <c r="A101" s="29"/>
      <c r="B101" s="30"/>
      <c r="C101" s="180" t="s">
        <v>138</v>
      </c>
      <c r="D101" s="181"/>
      <c r="E101" s="98" t="s">
        <v>282</v>
      </c>
      <c r="F101" s="99"/>
      <c r="G101" s="100"/>
      <c r="H101" s="64">
        <v>2</v>
      </c>
      <c r="I101" s="64" t="s">
        <v>154</v>
      </c>
      <c r="J101" s="64">
        <f>(0.14*0.25)/10^6</f>
        <v>3.5000000000000002E-8</v>
      </c>
      <c r="K101" s="105"/>
      <c r="L101" s="112"/>
      <c r="M101" s="71"/>
    </row>
    <row r="102" spans="1:15" ht="15" thickBot="1" x14ac:dyDescent="0.4">
      <c r="A102" s="29"/>
      <c r="B102" s="33"/>
      <c r="C102" s="180" t="s">
        <v>140</v>
      </c>
      <c r="D102" s="181"/>
      <c r="E102" s="104" t="s">
        <v>155</v>
      </c>
      <c r="F102" s="82"/>
      <c r="G102" s="83"/>
      <c r="H102" s="64">
        <v>4</v>
      </c>
      <c r="I102" s="64" t="s">
        <v>156</v>
      </c>
      <c r="J102" s="64">
        <f>0.21/10^6</f>
        <v>2.1E-7</v>
      </c>
      <c r="K102" s="109"/>
      <c r="L102" s="113"/>
      <c r="M102" s="69"/>
    </row>
    <row r="103" spans="1:15" ht="15" customHeight="1" thickBot="1" x14ac:dyDescent="0.4">
      <c r="A103" s="29"/>
      <c r="B103" s="19" t="s">
        <v>157</v>
      </c>
      <c r="C103" s="144" t="s">
        <v>158</v>
      </c>
      <c r="D103" s="145"/>
      <c r="E103" s="98" t="s">
        <v>149</v>
      </c>
      <c r="F103" s="82"/>
      <c r="G103" s="83"/>
      <c r="H103" s="64">
        <v>4</v>
      </c>
      <c r="I103" s="64" t="s">
        <v>159</v>
      </c>
      <c r="J103" s="64">
        <f>4.29/10^6</f>
        <v>4.2900000000000004E-6</v>
      </c>
      <c r="K103" s="102">
        <f>SUM(J103:J106)</f>
        <v>1.394E-5</v>
      </c>
      <c r="L103" s="103"/>
      <c r="M103" s="68">
        <v>2</v>
      </c>
    </row>
    <row r="104" spans="1:15" ht="29.5" thickBot="1" x14ac:dyDescent="0.4">
      <c r="A104" s="29"/>
      <c r="B104" s="30"/>
      <c r="C104" s="144" t="s">
        <v>160</v>
      </c>
      <c r="D104" s="145"/>
      <c r="E104" s="104" t="s">
        <v>151</v>
      </c>
      <c r="F104" s="99"/>
      <c r="G104" s="100"/>
      <c r="H104" s="64">
        <v>4</v>
      </c>
      <c r="I104" s="64" t="s">
        <v>161</v>
      </c>
      <c r="J104" s="64">
        <f>8.52/10^6</f>
        <v>8.5199999999999997E-6</v>
      </c>
      <c r="K104" s="105"/>
      <c r="L104" s="106"/>
      <c r="M104" s="71"/>
    </row>
    <row r="105" spans="1:15" ht="54" customHeight="1" thickBot="1" x14ac:dyDescent="0.4">
      <c r="A105" s="29"/>
      <c r="B105" s="30"/>
      <c r="C105" s="180" t="s">
        <v>138</v>
      </c>
      <c r="D105" s="181"/>
      <c r="E105" s="98" t="s">
        <v>162</v>
      </c>
      <c r="F105" s="99"/>
      <c r="G105" s="100"/>
      <c r="H105" s="64">
        <v>4</v>
      </c>
      <c r="I105" s="64" t="s">
        <v>163</v>
      </c>
      <c r="J105" s="64">
        <f>0.39/10^6</f>
        <v>3.9000000000000002E-7</v>
      </c>
      <c r="K105" s="105"/>
      <c r="L105" s="106"/>
      <c r="M105" s="71"/>
      <c r="O105">
        <v>0</v>
      </c>
    </row>
    <row r="106" spans="1:15" ht="15" thickBot="1" x14ac:dyDescent="0.4">
      <c r="A106" s="29"/>
      <c r="B106" s="33"/>
      <c r="C106" s="180" t="s">
        <v>140</v>
      </c>
      <c r="D106" s="181"/>
      <c r="E106" s="104" t="s">
        <v>155</v>
      </c>
      <c r="F106" s="82"/>
      <c r="G106" s="83"/>
      <c r="H106" s="64">
        <v>4</v>
      </c>
      <c r="I106" s="64" t="s">
        <v>164</v>
      </c>
      <c r="J106" s="64">
        <f>0.74/10^6</f>
        <v>7.4000000000000001E-7</v>
      </c>
      <c r="K106" s="109"/>
      <c r="L106" s="110"/>
      <c r="M106" s="69"/>
    </row>
    <row r="107" spans="1:15" ht="15" thickBot="1" x14ac:dyDescent="0.4">
      <c r="A107" s="29"/>
      <c r="B107" s="19" t="s">
        <v>165</v>
      </c>
      <c r="C107" s="144" t="s">
        <v>158</v>
      </c>
      <c r="D107" s="145"/>
      <c r="E107" s="101" t="s">
        <v>166</v>
      </c>
      <c r="F107" s="65"/>
      <c r="G107" s="66"/>
      <c r="H107" s="101">
        <v>6</v>
      </c>
      <c r="I107" s="114" t="s">
        <v>167</v>
      </c>
      <c r="J107" s="115">
        <f>0.82/10^6</f>
        <v>8.1999999999999998E-7</v>
      </c>
      <c r="K107" s="102">
        <f>SUM(J107:J109)</f>
        <v>1.9699999999999998E-6</v>
      </c>
      <c r="L107" s="103"/>
      <c r="M107" s="68">
        <v>3</v>
      </c>
    </row>
    <row r="108" spans="1:15" x14ac:dyDescent="0.35">
      <c r="A108" s="29"/>
      <c r="B108" s="30"/>
      <c r="C108" s="134" t="s">
        <v>16</v>
      </c>
      <c r="D108" s="135"/>
      <c r="E108" s="67" t="s">
        <v>168</v>
      </c>
      <c r="F108" s="42"/>
      <c r="G108" s="43"/>
      <c r="H108" s="19">
        <v>7</v>
      </c>
      <c r="I108" s="19" t="s">
        <v>169</v>
      </c>
      <c r="J108" s="68">
        <f>1.15/10^6</f>
        <v>1.15E-6</v>
      </c>
      <c r="K108" s="105"/>
      <c r="L108" s="106"/>
      <c r="M108" s="71"/>
    </row>
    <row r="109" spans="1:15" ht="15" thickBot="1" x14ac:dyDescent="0.4">
      <c r="A109" s="10"/>
      <c r="B109" s="33"/>
      <c r="C109" s="136"/>
      <c r="D109" s="137"/>
      <c r="E109" s="59" t="s">
        <v>170</v>
      </c>
      <c r="F109" s="55"/>
      <c r="G109" s="56"/>
      <c r="H109" s="33"/>
      <c r="I109" s="33"/>
      <c r="J109" s="69"/>
      <c r="K109" s="109"/>
      <c r="L109" s="110"/>
      <c r="M109" s="69"/>
    </row>
    <row r="111" spans="1:15" ht="15" customHeight="1" x14ac:dyDescent="0.35"/>
  </sheetData>
  <mergeCells count="298">
    <mergeCell ref="M107:M109"/>
    <mergeCell ref="C108:D109"/>
    <mergeCell ref="F108:G109"/>
    <mergeCell ref="H108:H109"/>
    <mergeCell ref="I108:I109"/>
    <mergeCell ref="J108:J109"/>
    <mergeCell ref="C106:D106"/>
    <mergeCell ref="F106:G106"/>
    <mergeCell ref="B107:B109"/>
    <mergeCell ref="C107:D107"/>
    <mergeCell ref="F107:G107"/>
    <mergeCell ref="K107:L109"/>
    <mergeCell ref="F102:G102"/>
    <mergeCell ref="B103:B106"/>
    <mergeCell ref="C103:D103"/>
    <mergeCell ref="F103:G103"/>
    <mergeCell ref="K103:L106"/>
    <mergeCell ref="M103:M106"/>
    <mergeCell ref="C104:D104"/>
    <mergeCell ref="F104:G104"/>
    <mergeCell ref="C105:D105"/>
    <mergeCell ref="F105:G105"/>
    <mergeCell ref="B99:B102"/>
    <mergeCell ref="C99:D99"/>
    <mergeCell ref="F99:G99"/>
    <mergeCell ref="K99:L102"/>
    <mergeCell ref="M99:M102"/>
    <mergeCell ref="C100:D100"/>
    <mergeCell ref="F100:G100"/>
    <mergeCell ref="C101:D101"/>
    <mergeCell ref="F101:G101"/>
    <mergeCell ref="C102:D102"/>
    <mergeCell ref="K95:L98"/>
    <mergeCell ref="M95:M98"/>
    <mergeCell ref="C96:D96"/>
    <mergeCell ref="F96:G96"/>
    <mergeCell ref="C97:D97"/>
    <mergeCell ref="F97:G97"/>
    <mergeCell ref="C98:D98"/>
    <mergeCell ref="F98:G98"/>
    <mergeCell ref="F92:G92"/>
    <mergeCell ref="C93:D93"/>
    <mergeCell ref="F93:G93"/>
    <mergeCell ref="C94:D94"/>
    <mergeCell ref="F94:G94"/>
    <mergeCell ref="B95:B98"/>
    <mergeCell ref="C95:D95"/>
    <mergeCell ref="F95:G95"/>
    <mergeCell ref="M89:M90"/>
    <mergeCell ref="C90:D90"/>
    <mergeCell ref="F90:G90"/>
    <mergeCell ref="A91:A109"/>
    <mergeCell ref="B91:B94"/>
    <mergeCell ref="C91:D91"/>
    <mergeCell ref="F91:G91"/>
    <mergeCell ref="K91:L94"/>
    <mergeCell ref="M91:M94"/>
    <mergeCell ref="C92:D92"/>
    <mergeCell ref="J87:J88"/>
    <mergeCell ref="K87:L88"/>
    <mergeCell ref="M87:M88"/>
    <mergeCell ref="A89:A90"/>
    <mergeCell ref="B89:B90"/>
    <mergeCell ref="C89:D89"/>
    <mergeCell ref="F89:G89"/>
    <mergeCell ref="I89:I90"/>
    <mergeCell ref="J89:J90"/>
    <mergeCell ref="K89:L90"/>
    <mergeCell ref="K85:L86"/>
    <mergeCell ref="M85:M86"/>
    <mergeCell ref="C86:D86"/>
    <mergeCell ref="F86:G86"/>
    <mergeCell ref="A87:A88"/>
    <mergeCell ref="B87:B88"/>
    <mergeCell ref="C87:D88"/>
    <mergeCell ref="E87:E88"/>
    <mergeCell ref="F87:G88"/>
    <mergeCell ref="H87:H88"/>
    <mergeCell ref="A85:A86"/>
    <mergeCell ref="B85:B86"/>
    <mergeCell ref="C85:D85"/>
    <mergeCell ref="F85:G85"/>
    <mergeCell ref="I85:I86"/>
    <mergeCell ref="J85:J86"/>
    <mergeCell ref="J81:J84"/>
    <mergeCell ref="K81:L84"/>
    <mergeCell ref="M81:M84"/>
    <mergeCell ref="C82:D83"/>
    <mergeCell ref="E82:E83"/>
    <mergeCell ref="F82:G83"/>
    <mergeCell ref="H82:H83"/>
    <mergeCell ref="C84:D84"/>
    <mergeCell ref="F84:G84"/>
    <mergeCell ref="C80:D80"/>
    <mergeCell ref="F80:G80"/>
    <mergeCell ref="A81:A84"/>
    <mergeCell ref="B81:B84"/>
    <mergeCell ref="C81:D81"/>
    <mergeCell ref="F81:G81"/>
    <mergeCell ref="B77:B79"/>
    <mergeCell ref="C77:D78"/>
    <mergeCell ref="F77:G78"/>
    <mergeCell ref="H77:H78"/>
    <mergeCell ref="I77:I78"/>
    <mergeCell ref="J77:J78"/>
    <mergeCell ref="C79:D79"/>
    <mergeCell ref="F79:G79"/>
    <mergeCell ref="A74:A80"/>
    <mergeCell ref="B74:B75"/>
    <mergeCell ref="C74:D74"/>
    <mergeCell ref="F74:G74"/>
    <mergeCell ref="K74:L80"/>
    <mergeCell ref="M74:M80"/>
    <mergeCell ref="C75:D75"/>
    <mergeCell ref="F75:G75"/>
    <mergeCell ref="C76:D76"/>
    <mergeCell ref="F76:G76"/>
    <mergeCell ref="K64:L73"/>
    <mergeCell ref="M64:M73"/>
    <mergeCell ref="C66:D69"/>
    <mergeCell ref="F66:G69"/>
    <mergeCell ref="H66:H69"/>
    <mergeCell ref="J66:J69"/>
    <mergeCell ref="E68:E69"/>
    <mergeCell ref="C70:D73"/>
    <mergeCell ref="F70:G73"/>
    <mergeCell ref="H70:H73"/>
    <mergeCell ref="B64:B73"/>
    <mergeCell ref="C64:D65"/>
    <mergeCell ref="E64:E65"/>
    <mergeCell ref="F64:G65"/>
    <mergeCell ref="H64:H65"/>
    <mergeCell ref="J64:J65"/>
    <mergeCell ref="J70:J73"/>
    <mergeCell ref="E71:E73"/>
    <mergeCell ref="K58:L63"/>
    <mergeCell ref="M58:M63"/>
    <mergeCell ref="C60:D61"/>
    <mergeCell ref="E60:E61"/>
    <mergeCell ref="F60:G61"/>
    <mergeCell ref="H60:H61"/>
    <mergeCell ref="J60:J61"/>
    <mergeCell ref="C62:D63"/>
    <mergeCell ref="E62:E63"/>
    <mergeCell ref="F62:G63"/>
    <mergeCell ref="B58:B63"/>
    <mergeCell ref="C58:D59"/>
    <mergeCell ref="E58:E59"/>
    <mergeCell ref="F58:G59"/>
    <mergeCell ref="H58:H59"/>
    <mergeCell ref="J58:J59"/>
    <mergeCell ref="H62:H63"/>
    <mergeCell ref="J62:J63"/>
    <mergeCell ref="F54:G54"/>
    <mergeCell ref="J54:J57"/>
    <mergeCell ref="K54:L57"/>
    <mergeCell ref="M54:M57"/>
    <mergeCell ref="C55:D56"/>
    <mergeCell ref="E55:E56"/>
    <mergeCell ref="F55:G56"/>
    <mergeCell ref="H55:H56"/>
    <mergeCell ref="C57:D57"/>
    <mergeCell ref="F57:G57"/>
    <mergeCell ref="K48:L53"/>
    <mergeCell ref="M48:M53"/>
    <mergeCell ref="C49:D51"/>
    <mergeCell ref="F49:G51"/>
    <mergeCell ref="H49:H51"/>
    <mergeCell ref="E50:E51"/>
    <mergeCell ref="C52:D53"/>
    <mergeCell ref="E52:E53"/>
    <mergeCell ref="F52:G53"/>
    <mergeCell ref="H52:H53"/>
    <mergeCell ref="H45:H47"/>
    <mergeCell ref="I45:I47"/>
    <mergeCell ref="J45:J47"/>
    <mergeCell ref="A48:A73"/>
    <mergeCell ref="B48:B53"/>
    <mergeCell ref="C48:D48"/>
    <mergeCell ref="F48:G48"/>
    <mergeCell ref="J48:J53"/>
    <mergeCell ref="B54:B57"/>
    <mergeCell ref="C54:D54"/>
    <mergeCell ref="K37:L47"/>
    <mergeCell ref="M37:M47"/>
    <mergeCell ref="C39:D44"/>
    <mergeCell ref="E39:E44"/>
    <mergeCell ref="F39:G44"/>
    <mergeCell ref="H39:H44"/>
    <mergeCell ref="I39:I44"/>
    <mergeCell ref="J39:J44"/>
    <mergeCell ref="C45:D47"/>
    <mergeCell ref="E45:E47"/>
    <mergeCell ref="I34:I36"/>
    <mergeCell ref="J34:J36"/>
    <mergeCell ref="A37:A47"/>
    <mergeCell ref="B37:B47"/>
    <mergeCell ref="C37:D38"/>
    <mergeCell ref="E37:E38"/>
    <mergeCell ref="H37:H38"/>
    <mergeCell ref="I37:I38"/>
    <mergeCell ref="J37:J38"/>
    <mergeCell ref="F45:G47"/>
    <mergeCell ref="C33:D33"/>
    <mergeCell ref="F33:G33"/>
    <mergeCell ref="C34:D36"/>
    <mergeCell ref="E34:E36"/>
    <mergeCell ref="F34:G36"/>
    <mergeCell ref="H34:H36"/>
    <mergeCell ref="K27:L36"/>
    <mergeCell ref="M27:M36"/>
    <mergeCell ref="C28:D28"/>
    <mergeCell ref="F28:G28"/>
    <mergeCell ref="C29:D30"/>
    <mergeCell ref="E29:E30"/>
    <mergeCell ref="F29:G30"/>
    <mergeCell ref="H29:H30"/>
    <mergeCell ref="C31:D31"/>
    <mergeCell ref="F31:G31"/>
    <mergeCell ref="J24:J26"/>
    <mergeCell ref="A27:A36"/>
    <mergeCell ref="B27:B30"/>
    <mergeCell ref="C27:D27"/>
    <mergeCell ref="F27:G27"/>
    <mergeCell ref="J27:J30"/>
    <mergeCell ref="B31:B36"/>
    <mergeCell ref="J31:J33"/>
    <mergeCell ref="C32:D32"/>
    <mergeCell ref="F32:G32"/>
    <mergeCell ref="J21:J23"/>
    <mergeCell ref="C22:D22"/>
    <mergeCell ref="F22:G22"/>
    <mergeCell ref="C23:D23"/>
    <mergeCell ref="F23:G23"/>
    <mergeCell ref="C24:D26"/>
    <mergeCell ref="E24:E26"/>
    <mergeCell ref="F24:G26"/>
    <mergeCell ref="H24:H26"/>
    <mergeCell ref="I24:I26"/>
    <mergeCell ref="J17:J20"/>
    <mergeCell ref="K17:L26"/>
    <mergeCell ref="M17:M26"/>
    <mergeCell ref="C18:D18"/>
    <mergeCell ref="F18:G18"/>
    <mergeCell ref="C19:D20"/>
    <mergeCell ref="E19:E20"/>
    <mergeCell ref="F19:G20"/>
    <mergeCell ref="H19:H20"/>
    <mergeCell ref="C21:D21"/>
    <mergeCell ref="C16:D16"/>
    <mergeCell ref="F16:G16"/>
    <mergeCell ref="A17:A26"/>
    <mergeCell ref="B17:B20"/>
    <mergeCell ref="C17:D17"/>
    <mergeCell ref="F17:G17"/>
    <mergeCell ref="B21:B26"/>
    <mergeCell ref="F21:G21"/>
    <mergeCell ref="B13:B15"/>
    <mergeCell ref="C13:D14"/>
    <mergeCell ref="F13:G14"/>
    <mergeCell ref="H13:H14"/>
    <mergeCell ref="I13:I14"/>
    <mergeCell ref="J13:J14"/>
    <mergeCell ref="C15:D15"/>
    <mergeCell ref="F15:G15"/>
    <mergeCell ref="K7:L10"/>
    <mergeCell ref="M7:M10"/>
    <mergeCell ref="J9:J10"/>
    <mergeCell ref="A11:A16"/>
    <mergeCell ref="C11:D11"/>
    <mergeCell ref="F11:G11"/>
    <mergeCell ref="K11:L16"/>
    <mergeCell ref="M11:M16"/>
    <mergeCell ref="C12:D12"/>
    <mergeCell ref="F12:G12"/>
    <mergeCell ref="J3:J4"/>
    <mergeCell ref="K3:L6"/>
    <mergeCell ref="M3:M6"/>
    <mergeCell ref="C5:D10"/>
    <mergeCell ref="E5:E10"/>
    <mergeCell ref="F5:G10"/>
    <mergeCell ref="H5:H10"/>
    <mergeCell ref="J5:J6"/>
    <mergeCell ref="I7:I8"/>
    <mergeCell ref="J7:J8"/>
    <mergeCell ref="A3:A10"/>
    <mergeCell ref="B3:B10"/>
    <mergeCell ref="C3:D4"/>
    <mergeCell ref="E3:E4"/>
    <mergeCell ref="F3:G4"/>
    <mergeCell ref="H3:H4"/>
    <mergeCell ref="A1:A2"/>
    <mergeCell ref="B1:B2"/>
    <mergeCell ref="C1:D2"/>
    <mergeCell ref="E1:E2"/>
    <mergeCell ref="F1:G1"/>
    <mergeCell ref="H1:H2"/>
    <mergeCell ref="F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LNG-turbine</vt:lpstr>
      <vt:lpstr>LNG-engine</vt:lpstr>
      <vt:lpstr>Methanol</vt:lpstr>
      <vt:lpstr>Ammonia</vt:lpstr>
      <vt:lpstr>LOHC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2020-12-22T15:09:15Z</dcterms:modified>
</cp:coreProperties>
</file>