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martinm\Documents\2023 SoBio PaperMJ 2030\Supplementary Material\"/>
    </mc:Choice>
  </mc:AlternateContent>
  <xr:revisionPtr revIDLastSave="0" documentId="13_ncr:1_{50C6200C-87C8-489C-BB99-660C20F4707D}" xr6:coauthVersionLast="36" xr6:coauthVersionMax="36" xr10:uidLastSave="{00000000-0000-0000-0000-000000000000}"/>
  <bookViews>
    <workbookView xWindow="0" yWindow="0" windowWidth="22260" windowHeight="12645" xr2:uid="{00000000-000D-0000-FFFF-FFFF00000000}"/>
  </bookViews>
  <sheets>
    <sheet name="Prices" sheetId="2" r:id="rId1"/>
    <sheet name="Biomass potentials" sheetId="3" r:id="rId2"/>
    <sheet name="Investment" sheetId="4" r:id="rId3"/>
    <sheet name="Efficiency_CHP" sheetId="5" r:id="rId4"/>
    <sheet name="Efficiency_Heat" sheetId="6" r:id="rId5"/>
    <sheet name="COP_Heat pumps" sheetId="7" r:id="rId6"/>
    <sheet name="Efficiency_fuels" sheetId="8" r:id="rId7"/>
  </sheets>
  <externalReferences>
    <externalReference r:id="rId8"/>
    <externalReference r:id="rId9"/>
  </externalReferences>
  <definedNames>
    <definedName name="_CTVL00148f0a73ed8954180b90269d6ac0271d7" localSheetId="0">Prices!$B$113</definedName>
    <definedName name="_CTVL001b65a48e501a641228939028207688fdb" localSheetId="0">Prices!$B$111</definedName>
    <definedName name="_CTVL001bb05996966db4e8493a5271ad9e77ed0" localSheetId="0">Prices!$B$112</definedName>
    <definedName name="_CTVP00102e711c13247475092b8a84f5c93d991" localSheetId="0">Prices!$H$13</definedName>
    <definedName name="_CTVP0010587c3b297f14e61a22eb066846fc6ba" localSheetId="0">Prices!$H$14</definedName>
    <definedName name="_CTVP0010df01468f95a467da0341b3ff21a49d6" localSheetId="0">Prices!$H$21</definedName>
    <definedName name="_CTVP00116885b388efe492f91c847b88df90fec" localSheetId="0">Prices!$H$5</definedName>
    <definedName name="_CTVP0011da3c79b544146728b5efbb7a3e3c881" localSheetId="0">Prices!$H$33</definedName>
    <definedName name="_CTVP0012170ea52d49142bda5807e11dc3369e4" localSheetId="0">Prices!$H$8</definedName>
    <definedName name="_CTVP0012724bb19dc6f47ba9cf445a8391a26fe" localSheetId="0">Prices!$H$52</definedName>
    <definedName name="_CTVP001323b3f98aca64886b60b1d428461498f" localSheetId="0">Prices!$H$50</definedName>
    <definedName name="_CTVP0013b8e921fd6a04a049340dfb5887e37e7" localSheetId="0">Prices!$H$9</definedName>
    <definedName name="_CTVP001412dbebc63a64aa790fbdd1819f82fae" localSheetId="0">Prices!$H$49</definedName>
    <definedName name="_CTVP00145c012f5fe3d4f8991bae30888ea0765" localSheetId="0">Prices!$H$25</definedName>
    <definedName name="_CTVP00155e6a571fec24a8189992964e13c9161" localSheetId="0">Prices!$H$4</definedName>
    <definedName name="_CTVP001568883ca26934869b206c6fcc012f44f" localSheetId="0">Prices!$H$60</definedName>
    <definedName name="_CTVP0015de62211cc7349108389bde224a4d483" localSheetId="0">Prices!$H$39</definedName>
    <definedName name="_CTVP00162445bbc09c24f298c3907a69a5ebea5" localSheetId="0">Prices!$H$47</definedName>
    <definedName name="_CTVP001629209b2fb57439d8c3d6a862ec4e64d" localSheetId="0">Prices!$H$32</definedName>
    <definedName name="_CTVP0016dbed3d7b5794221b81cb690a6d70e64" localSheetId="0">Prices!$H$56</definedName>
    <definedName name="_CTVP00170916b4687044fc98720d34948d5e827" localSheetId="0">Prices!$H$30</definedName>
    <definedName name="_CTVP0017619ca0a6e41401b85c3dee76eb8047e" localSheetId="0">Prices!$H$53</definedName>
    <definedName name="_CTVP0018078b2db593848e1a9a0eb7675050a0b" localSheetId="0">Prices!$H$42</definedName>
    <definedName name="_CTVP00180b34ad3dd9f493ca7f85178744b280a" localSheetId="0">Prices!$H$26</definedName>
    <definedName name="_CTVP00182a4ab491c814fd6b1aafdae939fc0ef" localSheetId="0">Prices!$H$51</definedName>
    <definedName name="_CTVP001831c2f6cf7ac4b81a901077eceed277c" localSheetId="0">Prices!$H$22</definedName>
    <definedName name="_CTVP001836b2eee1d534bfa89cd8f39ef6adc7e" localSheetId="0">Prices!$H$40</definedName>
    <definedName name="_CTVP00185cd90ed51ef4264bd02d86d47aad1c7" localSheetId="0">Prices!$H$7</definedName>
    <definedName name="_CTVP00187bafc8c16954f84a4166171c8c2b805" localSheetId="0">Prices!$H$37</definedName>
    <definedName name="_CTVP0018918523276dd40ca9805822b2abc613b" localSheetId="0">Prices!$H$20</definedName>
    <definedName name="_CTVP0018f05894daa5f482bb1f9a357628705b8" localSheetId="0">Prices!$H$3</definedName>
    <definedName name="_CTVP0019708335653264bb2811efe471e24dc0a" localSheetId="0">Prices!$H$54</definedName>
    <definedName name="_CTVP00198c5c3cab81b4fe4a77a79af5cd08d30" localSheetId="0">Prices!$H$36</definedName>
    <definedName name="_CTVP0019d8ead4f60c4465ebc77a5f545acf500" localSheetId="0">Prices!$H$31</definedName>
    <definedName name="_CTVP001a306b9414ed64abaa12d7876874beca8" localSheetId="0">Prices!$H$18</definedName>
    <definedName name="_CTVP001a5bb561988f54454b190229c1745d53c" localSheetId="0">Prices!$H$58</definedName>
    <definedName name="_CTVP001ab8a083cb04d4a1b92efbdd0d2a78aae" localSheetId="0">Prices!$H$15</definedName>
    <definedName name="_CTVP001b18af32a84f74a46b2bb8de7928412a8" localSheetId="0">Prices!$H$45</definedName>
    <definedName name="_CTVP001be17d112cbba464f8b65799744ddf683" localSheetId="0">Prices!$H$41</definedName>
    <definedName name="_CTVP001c199542f432945a0b5e444bc5ce47cd9" localSheetId="0">Prices!$H$44</definedName>
    <definedName name="_CTVP001cb4c8ad8eba5403bbb48ff75dbd13883" localSheetId="0">Prices!$H$19</definedName>
    <definedName name="_CTVP001cbd24990e69f49cfb059f4086af32489" localSheetId="0">Prices!$H$12</definedName>
    <definedName name="_CTVP001d283860888044656b263d9ebde9d5c2b" localSheetId="0">Prices!$H$24</definedName>
    <definedName name="_CTVP001d5b1ec5a10374ff084464be7184aa623" localSheetId="0">Prices!$H$46</definedName>
    <definedName name="_CTVP001db683acd379a4f38a59c319801cc5748" localSheetId="0">Prices!$H$17</definedName>
    <definedName name="_CTVP001db93b601a5a64dd1902f2cc9a3c6548e" localSheetId="0">Prices!$H$38</definedName>
    <definedName name="_CTVP001e90b582b58b14180847a244c10633cff" localSheetId="0">Prices!$H$23</definedName>
    <definedName name="_CTVP001eafcd1c0ff1748af814657640c43512a" localSheetId="0">Prices!$H$6</definedName>
    <definedName name="_CTVP001f618e6764a0d478f97e0394a11bff32a" localSheetId="0">Prices!$H$10</definedName>
    <definedName name="_CTVP001fa5b8746bbf04fa7ba3a08590e0159fc" localSheetId="0">Prices!$H$59</definedName>
    <definedName name="Dropdown_Imex_Commodities">OFFSET(#REF!,0,0,COUNTA(#REF!)-1)</definedName>
    <definedName name="Dropdown_Imex_Countries">OFFSET(#REF!,0,0,COUNTA(#REF!)-1)</definedName>
    <definedName name="Dropdown_Imex_Imex">OFFSET(#REF!,0,0,COUNTA(#REF!)-1)</definedName>
    <definedName name="Dropdown_Imex_Years">OFFSET(#REF!,0,0,COUNTA(#REF!)-1)</definedName>
    <definedName name="Dropdown_Production_Commodities">OFFSET(#REF!,0,0,COUNTA(#REF!)-1)</definedName>
    <definedName name="Dropdown_Production_Countries">OFFSET(#REF!,0,0,COUNTA(#REF!)-1)</definedName>
    <definedName name="Dropdown_Production_Years">OFFSET(#REF!,0,0,COUNTA(#REF!)-1)</definedName>
    <definedName name="ja">OFFSET(#REF!,0,0,COUNTA(#REF!)-1)</definedName>
    <definedName name="tre">OFFSET(#REF!,0,0,COUNTA(#REF!)-1)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5" l="1"/>
  <c r="E23" i="5"/>
  <c r="F22" i="5"/>
  <c r="E22" i="5"/>
  <c r="F21" i="5"/>
  <c r="E21" i="5"/>
  <c r="F20" i="5"/>
  <c r="E20" i="5"/>
  <c r="G255" i="4"/>
  <c r="F255" i="4"/>
  <c r="G254" i="4"/>
  <c r="F254" i="4"/>
  <c r="G253" i="4"/>
  <c r="F253" i="4"/>
  <c r="G252" i="4"/>
  <c r="F252" i="4"/>
  <c r="G251" i="4"/>
  <c r="F251" i="4"/>
  <c r="G250" i="4"/>
  <c r="F250" i="4"/>
  <c r="G249" i="4"/>
  <c r="F249" i="4"/>
  <c r="G248" i="4"/>
  <c r="F248" i="4"/>
  <c r="G247" i="4"/>
  <c r="F247" i="4"/>
  <c r="G246" i="4"/>
  <c r="F246" i="4"/>
  <c r="E242" i="4"/>
  <c r="F242" i="4" s="1"/>
  <c r="G241" i="4"/>
  <c r="E241" i="4"/>
  <c r="G240" i="4"/>
  <c r="F240" i="4"/>
  <c r="G239" i="4"/>
  <c r="F239" i="4"/>
  <c r="G238" i="4"/>
  <c r="F238" i="4"/>
  <c r="G237" i="4"/>
  <c r="F237" i="4"/>
  <c r="G236" i="4"/>
  <c r="F236" i="4"/>
  <c r="G235" i="4"/>
  <c r="F235" i="4"/>
  <c r="G234" i="4"/>
  <c r="F234" i="4"/>
  <c r="G233" i="4"/>
  <c r="F233" i="4"/>
  <c r="G232" i="4"/>
  <c r="F232" i="4"/>
  <c r="G231" i="4"/>
  <c r="F231" i="4"/>
  <c r="G230" i="4"/>
  <c r="F230" i="4"/>
  <c r="G229" i="4"/>
  <c r="F229" i="4"/>
  <c r="G228" i="4"/>
  <c r="F228" i="4"/>
  <c r="G227" i="4"/>
  <c r="F227" i="4"/>
  <c r="G226" i="4"/>
  <c r="F226" i="4"/>
  <c r="G225" i="4"/>
  <c r="F225" i="4"/>
  <c r="G224" i="4"/>
  <c r="F224" i="4"/>
  <c r="G223" i="4"/>
  <c r="F223" i="4"/>
  <c r="G222" i="4"/>
  <c r="F222" i="4"/>
  <c r="G221" i="4"/>
  <c r="F221" i="4"/>
  <c r="G220" i="4"/>
  <c r="F220" i="4"/>
  <c r="G219" i="4"/>
  <c r="F219" i="4"/>
  <c r="G218" i="4"/>
  <c r="F218" i="4"/>
  <c r="G217" i="4"/>
  <c r="F217" i="4"/>
  <c r="G216" i="4"/>
  <c r="F216" i="4"/>
  <c r="G215" i="4"/>
  <c r="F215" i="4"/>
  <c r="G213" i="4"/>
  <c r="F213" i="4"/>
  <c r="G212" i="4"/>
  <c r="F212" i="4"/>
  <c r="G211" i="4"/>
  <c r="F211" i="4"/>
  <c r="G210" i="4"/>
  <c r="F210" i="4"/>
  <c r="G209" i="4"/>
  <c r="F209" i="4"/>
  <c r="G208" i="4"/>
  <c r="F208" i="4"/>
  <c r="G207" i="4"/>
  <c r="F207" i="4"/>
  <c r="G206" i="4"/>
  <c r="F206" i="4"/>
  <c r="G205" i="4"/>
  <c r="F205" i="4"/>
  <c r="G204" i="4"/>
  <c r="F204" i="4"/>
  <c r="G203" i="4"/>
  <c r="F203" i="4"/>
  <c r="G202" i="4"/>
  <c r="F202" i="4"/>
  <c r="G201" i="4"/>
  <c r="F201" i="4"/>
  <c r="G200" i="4"/>
  <c r="F200" i="4"/>
  <c r="G199" i="4"/>
  <c r="F199" i="4"/>
  <c r="G198" i="4"/>
  <c r="F198" i="4"/>
  <c r="G197" i="4"/>
  <c r="F197" i="4"/>
  <c r="G196" i="4"/>
  <c r="F196" i="4"/>
  <c r="G195" i="4"/>
  <c r="F195" i="4"/>
  <c r="G194" i="4"/>
  <c r="F194" i="4"/>
  <c r="G193" i="4"/>
  <c r="F193" i="4"/>
  <c r="G192" i="4"/>
  <c r="F192" i="4"/>
  <c r="G191" i="4"/>
  <c r="F191" i="4"/>
  <c r="G190" i="4"/>
  <c r="F190" i="4"/>
  <c r="G189" i="4"/>
  <c r="F189" i="4"/>
  <c r="G188" i="4"/>
  <c r="F188" i="4"/>
  <c r="G187" i="4"/>
  <c r="F187" i="4"/>
  <c r="G186" i="4"/>
  <c r="F186" i="4"/>
  <c r="G185" i="4"/>
  <c r="F185" i="4"/>
  <c r="G184" i="4"/>
  <c r="F184" i="4"/>
  <c r="G183" i="4"/>
  <c r="F183" i="4"/>
  <c r="G182" i="4"/>
  <c r="F182" i="4"/>
  <c r="G181" i="4"/>
  <c r="F181" i="4"/>
  <c r="G180" i="4"/>
  <c r="F180" i="4"/>
  <c r="G179" i="4"/>
  <c r="F179" i="4"/>
  <c r="G178" i="4"/>
  <c r="F178" i="4"/>
  <c r="G177" i="4"/>
  <c r="F177" i="4"/>
  <c r="G176" i="4"/>
  <c r="F176" i="4"/>
  <c r="G175" i="4"/>
  <c r="F175" i="4"/>
  <c r="G174" i="4"/>
  <c r="F174" i="4"/>
  <c r="G173" i="4"/>
  <c r="F173" i="4"/>
  <c r="G172" i="4"/>
  <c r="F172" i="4"/>
  <c r="G171" i="4"/>
  <c r="F171" i="4"/>
  <c r="G170" i="4"/>
  <c r="F170" i="4"/>
  <c r="G169" i="4"/>
  <c r="F169" i="4"/>
  <c r="G168" i="4"/>
  <c r="F168" i="4"/>
  <c r="G167" i="4"/>
  <c r="F167" i="4"/>
  <c r="G166" i="4"/>
  <c r="F166" i="4"/>
  <c r="G165" i="4"/>
  <c r="F165" i="4"/>
  <c r="G164" i="4"/>
  <c r="F164" i="4"/>
  <c r="G163" i="4"/>
  <c r="F163" i="4"/>
  <c r="G162" i="4"/>
  <c r="F162" i="4"/>
  <c r="G161" i="4"/>
  <c r="F161" i="4"/>
  <c r="G160" i="4"/>
  <c r="F160" i="4"/>
  <c r="G159" i="4"/>
  <c r="F159" i="4"/>
  <c r="G157" i="4"/>
  <c r="F157" i="4"/>
  <c r="G156" i="4"/>
  <c r="F156" i="4"/>
  <c r="G155" i="4"/>
  <c r="F155" i="4"/>
  <c r="G154" i="4"/>
  <c r="F154" i="4"/>
  <c r="G153" i="4"/>
  <c r="F153" i="4"/>
  <c r="G152" i="4"/>
  <c r="F152" i="4"/>
  <c r="G151" i="4"/>
  <c r="F151" i="4"/>
  <c r="G150" i="4"/>
  <c r="F150" i="4"/>
  <c r="G149" i="4"/>
  <c r="F149" i="4"/>
  <c r="G148" i="4"/>
  <c r="F148" i="4"/>
  <c r="G147" i="4"/>
  <c r="F147" i="4"/>
  <c r="G146" i="4"/>
  <c r="F146" i="4"/>
  <c r="G145" i="4"/>
  <c r="F145" i="4"/>
  <c r="G144" i="4"/>
  <c r="F144" i="4"/>
  <c r="G143" i="4"/>
  <c r="F143" i="4"/>
  <c r="G142" i="4"/>
  <c r="F142" i="4"/>
  <c r="G141" i="4"/>
  <c r="F141" i="4"/>
  <c r="G140" i="4"/>
  <c r="F140" i="4"/>
  <c r="G139" i="4"/>
  <c r="F139" i="4"/>
  <c r="G138" i="4"/>
  <c r="F138" i="4"/>
  <c r="G137" i="4"/>
  <c r="F137" i="4"/>
  <c r="G136" i="4"/>
  <c r="F136" i="4"/>
  <c r="G135" i="4"/>
  <c r="F135" i="4"/>
  <c r="G134" i="4"/>
  <c r="F134" i="4"/>
  <c r="G133" i="4"/>
  <c r="F133" i="4"/>
  <c r="G132" i="4"/>
  <c r="F132" i="4"/>
  <c r="G131" i="4"/>
  <c r="F131" i="4"/>
  <c r="G130" i="4"/>
  <c r="F130" i="4"/>
  <c r="G129" i="4"/>
  <c r="F129" i="4"/>
  <c r="G128" i="4"/>
  <c r="F128" i="4"/>
  <c r="G127" i="4"/>
  <c r="F127" i="4"/>
  <c r="G126" i="4"/>
  <c r="F126" i="4"/>
  <c r="G125" i="4"/>
  <c r="F125" i="4"/>
  <c r="G123" i="4"/>
  <c r="F123" i="4"/>
  <c r="G122" i="4"/>
  <c r="F122" i="4"/>
  <c r="G121" i="4"/>
  <c r="F121" i="4"/>
  <c r="G120" i="4"/>
  <c r="F120" i="4"/>
  <c r="G119" i="4"/>
  <c r="F119" i="4"/>
  <c r="G118" i="4"/>
  <c r="F118" i="4"/>
  <c r="G117" i="4"/>
  <c r="F117" i="4"/>
  <c r="G116" i="4"/>
  <c r="F116" i="4"/>
  <c r="G115" i="4"/>
  <c r="F115" i="4"/>
  <c r="G114" i="4"/>
  <c r="F114" i="4"/>
  <c r="G113" i="4"/>
  <c r="F113" i="4"/>
  <c r="G112" i="4"/>
  <c r="F112" i="4"/>
  <c r="G111" i="4"/>
  <c r="F111" i="4"/>
  <c r="G110" i="4"/>
  <c r="F110" i="4"/>
  <c r="G109" i="4"/>
  <c r="F109" i="4"/>
  <c r="G108" i="4"/>
  <c r="F108" i="4"/>
  <c r="G107" i="4"/>
  <c r="F107" i="4"/>
  <c r="G106" i="4"/>
  <c r="F106" i="4"/>
  <c r="G105" i="4"/>
  <c r="F105" i="4"/>
  <c r="G104" i="4"/>
  <c r="F104" i="4"/>
  <c r="G103" i="4"/>
  <c r="F103" i="4"/>
  <c r="G102" i="4"/>
  <c r="F102" i="4"/>
  <c r="G101" i="4"/>
  <c r="F101" i="4"/>
  <c r="G100" i="4"/>
  <c r="F100" i="4"/>
  <c r="G99" i="4"/>
  <c r="F99" i="4"/>
  <c r="G98" i="4"/>
  <c r="F98" i="4"/>
  <c r="G97" i="4"/>
  <c r="F97" i="4"/>
  <c r="G96" i="4"/>
  <c r="F96" i="4"/>
  <c r="G95" i="4"/>
  <c r="F95" i="4"/>
  <c r="G94" i="4"/>
  <c r="F94" i="4"/>
  <c r="G93" i="4"/>
  <c r="F93" i="4"/>
  <c r="G92" i="4"/>
  <c r="F92" i="4"/>
  <c r="G91" i="4"/>
  <c r="F91" i="4"/>
  <c r="G90" i="4"/>
  <c r="F90" i="4"/>
  <c r="G89" i="4"/>
  <c r="F89" i="4"/>
  <c r="G88" i="4"/>
  <c r="F88" i="4"/>
  <c r="G87" i="4"/>
  <c r="F87" i="4"/>
  <c r="G86" i="4"/>
  <c r="F86" i="4"/>
  <c r="G85" i="4"/>
  <c r="F85" i="4"/>
  <c r="G84" i="4"/>
  <c r="F84" i="4"/>
  <c r="G83" i="4"/>
  <c r="F83" i="4"/>
  <c r="G82" i="4"/>
  <c r="F82" i="4"/>
  <c r="G81" i="4"/>
  <c r="F81" i="4"/>
  <c r="G80" i="4"/>
  <c r="F80" i="4"/>
  <c r="G79" i="4"/>
  <c r="F79" i="4"/>
  <c r="G78" i="4"/>
  <c r="F78" i="4"/>
  <c r="G77" i="4"/>
  <c r="F77" i="4"/>
  <c r="G76" i="4"/>
  <c r="F76" i="4"/>
  <c r="G75" i="4"/>
  <c r="F75" i="4"/>
  <c r="G74" i="4"/>
  <c r="F74" i="4"/>
  <c r="G73" i="4"/>
  <c r="F73" i="4"/>
  <c r="G72" i="4"/>
  <c r="F72" i="4"/>
  <c r="G71" i="4"/>
  <c r="F71" i="4"/>
  <c r="G70" i="4"/>
  <c r="F70" i="4"/>
  <c r="G69" i="4"/>
  <c r="F69" i="4"/>
  <c r="G68" i="4"/>
  <c r="F68" i="4"/>
  <c r="G67" i="4"/>
  <c r="F67" i="4"/>
  <c r="G66" i="4"/>
  <c r="F66" i="4"/>
  <c r="G65" i="4"/>
  <c r="F65" i="4"/>
  <c r="G64" i="4"/>
  <c r="F64" i="4"/>
  <c r="G63" i="4"/>
  <c r="F63" i="4"/>
  <c r="G62" i="4"/>
  <c r="F62" i="4"/>
  <c r="G61" i="4"/>
  <c r="F61" i="4"/>
  <c r="G60" i="4"/>
  <c r="F60" i="4"/>
  <c r="G59" i="4"/>
  <c r="F59" i="4"/>
  <c r="G58" i="4"/>
  <c r="F58" i="4"/>
  <c r="G57" i="4"/>
  <c r="F57" i="4"/>
  <c r="G56" i="4"/>
  <c r="F56" i="4"/>
  <c r="G55" i="4"/>
  <c r="F55" i="4"/>
  <c r="G54" i="4"/>
  <c r="F54" i="4"/>
  <c r="G53" i="4"/>
  <c r="F53" i="4"/>
  <c r="G52" i="4"/>
  <c r="F52" i="4"/>
  <c r="G51" i="4"/>
  <c r="F51" i="4"/>
  <c r="G50" i="4"/>
  <c r="F50" i="4"/>
  <c r="G49" i="4"/>
  <c r="F49" i="4"/>
  <c r="G48" i="4"/>
  <c r="F48" i="4"/>
  <c r="G47" i="4"/>
  <c r="F47" i="4"/>
  <c r="G46" i="4"/>
  <c r="F46" i="4"/>
  <c r="G45" i="4"/>
  <c r="F45" i="4"/>
  <c r="G44" i="4"/>
  <c r="F44" i="4"/>
  <c r="G43" i="4"/>
  <c r="F43" i="4"/>
  <c r="G42" i="4"/>
  <c r="F42" i="4"/>
  <c r="G41" i="4"/>
  <c r="F41" i="4"/>
  <c r="G40" i="4"/>
  <c r="F40" i="4"/>
  <c r="G39" i="4"/>
  <c r="F39" i="4"/>
  <c r="G38" i="4"/>
  <c r="F38" i="4"/>
  <c r="G37" i="4"/>
  <c r="F37" i="4"/>
  <c r="G36" i="4"/>
  <c r="F36" i="4"/>
  <c r="G35" i="4"/>
  <c r="F35" i="4"/>
  <c r="G34" i="4"/>
  <c r="F34" i="4"/>
  <c r="G33" i="4"/>
  <c r="F33" i="4"/>
  <c r="G32" i="4"/>
  <c r="F32" i="4"/>
  <c r="G31" i="4"/>
  <c r="F31" i="4"/>
  <c r="G30" i="4"/>
  <c r="F30" i="4"/>
  <c r="G29" i="4"/>
  <c r="F29" i="4"/>
  <c r="G28" i="4"/>
  <c r="F28" i="4"/>
  <c r="G27" i="4"/>
  <c r="F27" i="4"/>
  <c r="G26" i="4"/>
  <c r="F26" i="4"/>
  <c r="G25" i="4"/>
  <c r="F25" i="4"/>
  <c r="G23" i="4"/>
  <c r="F23" i="4"/>
  <c r="G22" i="4"/>
  <c r="F22" i="4"/>
  <c r="G21" i="4"/>
  <c r="F21" i="4"/>
  <c r="G20" i="4"/>
  <c r="F20" i="4"/>
  <c r="G19" i="4"/>
  <c r="F19" i="4"/>
  <c r="G18" i="4"/>
  <c r="F18" i="4"/>
  <c r="G17" i="4"/>
  <c r="F17" i="4"/>
  <c r="G16" i="4"/>
  <c r="F16" i="4"/>
  <c r="G15" i="4"/>
  <c r="F15" i="4"/>
  <c r="G14" i="4"/>
  <c r="F14" i="4"/>
  <c r="G13" i="4"/>
  <c r="F13" i="4"/>
  <c r="G12" i="4"/>
  <c r="F12" i="4"/>
  <c r="G11" i="4"/>
  <c r="F11" i="4"/>
  <c r="G10" i="4"/>
  <c r="F10" i="4"/>
  <c r="G9" i="4"/>
  <c r="F9" i="4"/>
  <c r="G8" i="4"/>
  <c r="F8" i="4"/>
  <c r="G7" i="4"/>
  <c r="F7" i="4"/>
  <c r="G6" i="4"/>
  <c r="F6" i="4"/>
  <c r="G242" i="4" l="1"/>
  <c r="F241" i="4"/>
  <c r="G20" i="3" l="1"/>
  <c r="H20" i="3" s="1"/>
  <c r="H19" i="3"/>
  <c r="H15" i="3"/>
  <c r="H14" i="3"/>
  <c r="H13" i="3"/>
  <c r="H12" i="3"/>
  <c r="H11" i="3"/>
  <c r="H10" i="3"/>
  <c r="H9" i="3"/>
  <c r="H8" i="3"/>
  <c r="H7" i="3"/>
  <c r="H6" i="3"/>
  <c r="H5" i="3"/>
  <c r="H4" i="3"/>
  <c r="G34" i="3"/>
  <c r="F34" i="3"/>
  <c r="G33" i="3"/>
  <c r="F33" i="3"/>
  <c r="G32" i="3"/>
  <c r="F32" i="3"/>
  <c r="G31" i="3"/>
  <c r="F31" i="3"/>
  <c r="G30" i="3"/>
  <c r="G29" i="3"/>
  <c r="F29" i="3"/>
  <c r="G28" i="3"/>
  <c r="F28" i="3"/>
  <c r="G27" i="3"/>
  <c r="F27" i="3"/>
  <c r="E26" i="3"/>
  <c r="G26" i="3" s="1"/>
  <c r="E21" i="3"/>
  <c r="F21" i="3" s="1"/>
  <c r="E20" i="3"/>
  <c r="F20" i="3" s="1"/>
  <c r="F19" i="3"/>
  <c r="E18" i="3"/>
  <c r="F18" i="3" s="1"/>
  <c r="E17" i="3"/>
  <c r="F17" i="3" s="1"/>
  <c r="F16" i="3"/>
  <c r="H16" i="3" s="1"/>
  <c r="F15" i="3"/>
  <c r="F14" i="3"/>
  <c r="F13" i="3"/>
  <c r="F12" i="3"/>
  <c r="F11" i="3"/>
  <c r="F10" i="3"/>
  <c r="F9" i="3"/>
  <c r="F8" i="3"/>
  <c r="F7" i="3"/>
  <c r="F6" i="3"/>
  <c r="F5" i="3"/>
  <c r="F4" i="3"/>
  <c r="G21" i="3" l="1"/>
  <c r="H21" i="3" s="1"/>
  <c r="G18" i="3"/>
  <c r="H18" i="3" s="1"/>
  <c r="G17" i="3"/>
  <c r="H17" i="3" s="1"/>
  <c r="L31" i="2" l="1"/>
  <c r="D45" i="2" l="1"/>
  <c r="D30" i="2"/>
  <c r="C31" i="2" s="1"/>
  <c r="E21" i="2"/>
  <c r="C21" i="2"/>
  <c r="D21" i="2" s="1"/>
  <c r="E17" i="2"/>
  <c r="D17" i="2"/>
  <c r="C17" i="2"/>
  <c r="E7" i="2"/>
  <c r="C7" i="2"/>
  <c r="D6" i="2"/>
  <c r="D5" i="2"/>
  <c r="D4" i="2"/>
  <c r="D7" i="2" l="1"/>
  <c r="D31" i="2"/>
  <c r="E31" i="2"/>
</calcChain>
</file>

<file path=xl/sharedStrings.xml><?xml version="1.0" encoding="utf-8"?>
<sst xmlns="http://schemas.openxmlformats.org/spreadsheetml/2006/main" count="1471" uniqueCount="583">
  <si>
    <t>ID</t>
  </si>
  <si>
    <t>Material in €/t TM (based on 2020)</t>
  </si>
  <si>
    <t>Min</t>
  </si>
  <si>
    <t>Med</t>
  </si>
  <si>
    <t>Max</t>
  </si>
  <si>
    <t>Potential</t>
  </si>
  <si>
    <t>Comment/Year</t>
  </si>
  <si>
    <t>Reference</t>
  </si>
  <si>
    <t>Algae</t>
  </si>
  <si>
    <t>[1], [2]</t>
  </si>
  <si>
    <t>Paludiculture chips</t>
  </si>
  <si>
    <t>[3]</t>
  </si>
  <si>
    <t>Straw</t>
  </si>
  <si>
    <t>[4]</t>
  </si>
  <si>
    <t>Log wood</t>
  </si>
  <si>
    <t>Digestible residues</t>
  </si>
  <si>
    <t>Average price weighted according to the potentials below</t>
  </si>
  <si>
    <t>Organic waste</t>
  </si>
  <si>
    <t>Grass cuttings</t>
  </si>
  <si>
    <t>Liquid manure/slurry</t>
  </si>
  <si>
    <t>Sewage sludge</t>
  </si>
  <si>
    <t>Assumption</t>
  </si>
  <si>
    <t>Black liquir</t>
  </si>
  <si>
    <t>[5]</t>
  </si>
  <si>
    <t>Tall oil</t>
  </si>
  <si>
    <t>[6]</t>
  </si>
  <si>
    <t>Used cooking oil</t>
  </si>
  <si>
    <t>[7]</t>
  </si>
  <si>
    <t>Animal fats</t>
  </si>
  <si>
    <t>Palm Oil Mill Effluent (POME)</t>
  </si>
  <si>
    <t>Palm Fatty Acid Destillate (PFAD)</t>
  </si>
  <si>
    <t>Average price 2015-2020</t>
  </si>
  <si>
    <t>[8]</t>
  </si>
  <si>
    <t>Fermentation residues</t>
  </si>
  <si>
    <t>[9]</t>
  </si>
  <si>
    <t>Palm oil</t>
  </si>
  <si>
    <t>[10]</t>
  </si>
  <si>
    <t>Soya oil</t>
  </si>
  <si>
    <t>Sugar cane</t>
  </si>
  <si>
    <t>[11]</t>
  </si>
  <si>
    <t>Wood chips (residues)</t>
  </si>
  <si>
    <t>[3],[12]</t>
  </si>
  <si>
    <t>Shredded wood</t>
  </si>
  <si>
    <t>2010-2013</t>
  </si>
  <si>
    <t>[13]</t>
  </si>
  <si>
    <t>Briquettes (residues)</t>
  </si>
  <si>
    <t>[4],[12]</t>
  </si>
  <si>
    <t>Wood pellets (residues)</t>
  </si>
  <si>
    <t>[3], [12]</t>
  </si>
  <si>
    <t>Industry pellets</t>
  </si>
  <si>
    <r>
      <t xml:space="preserve">Energy prices in </t>
    </r>
    <r>
      <rPr>
        <b/>
        <u/>
        <sz val="11"/>
        <color theme="1"/>
        <rFont val="Calibri"/>
        <family val="2"/>
        <scheme val="minor"/>
      </rPr>
      <t>ct/kWh (based on 2020)</t>
    </r>
  </si>
  <si>
    <t>Eletricity</t>
  </si>
  <si>
    <t>see below</t>
  </si>
  <si>
    <t>Heat</t>
  </si>
  <si>
    <t>Natural gas</t>
  </si>
  <si>
    <t>[14]</t>
  </si>
  <si>
    <t>Natural gas, prices 2022</t>
  </si>
  <si>
    <t>[15]</t>
  </si>
  <si>
    <t>Hard coal</t>
  </si>
  <si>
    <t>2021-2040</t>
  </si>
  <si>
    <t>[16]</t>
  </si>
  <si>
    <t>Lignite</t>
  </si>
  <si>
    <t>2021-2041</t>
  </si>
  <si>
    <t>Coke</t>
  </si>
  <si>
    <t>Hard coal equivalent</t>
  </si>
  <si>
    <t>Plastic waste</t>
  </si>
  <si>
    <t>Petrol</t>
  </si>
  <si>
    <t>[17]</t>
  </si>
  <si>
    <t>Diesel</t>
  </si>
  <si>
    <t>Kerosene</t>
  </si>
  <si>
    <t>[18]</t>
  </si>
  <si>
    <t>CNG</t>
  </si>
  <si>
    <t>LNG</t>
  </si>
  <si>
    <t>LPG</t>
  </si>
  <si>
    <t>Methanol</t>
  </si>
  <si>
    <t>Auxiliary material in €/t TM (based on 2020)</t>
  </si>
  <si>
    <t>Average 5 years</t>
  </si>
  <si>
    <t>[19]</t>
  </si>
  <si>
    <t>H2</t>
  </si>
  <si>
    <t>[20]</t>
  </si>
  <si>
    <t>CO2</t>
  </si>
  <si>
    <t>[21]</t>
  </si>
  <si>
    <t>purified water</t>
  </si>
  <si>
    <t>[22]</t>
  </si>
  <si>
    <t>Revenues in €/t TM (based on 2020)</t>
  </si>
  <si>
    <t>Digestate</t>
  </si>
  <si>
    <t>Vinasse</t>
  </si>
  <si>
    <t>[23]</t>
  </si>
  <si>
    <t>Dried Pulp</t>
  </si>
  <si>
    <t>[24]</t>
  </si>
  <si>
    <t>DDGS</t>
  </si>
  <si>
    <t>[25]</t>
  </si>
  <si>
    <t>grist</t>
  </si>
  <si>
    <t>Pharmaglycerin</t>
  </si>
  <si>
    <t>Fuel or heat output</t>
  </si>
  <si>
    <t>according to the energy prices</t>
  </si>
  <si>
    <t>Naphtha</t>
  </si>
  <si>
    <t>[26]</t>
  </si>
  <si>
    <t>Eletricity output</t>
  </si>
  <si>
    <t>Lignin</t>
  </si>
  <si>
    <t>Fuel gas (biopropan)</t>
  </si>
  <si>
    <t>[27]</t>
  </si>
  <si>
    <t>Electricity prices in ct/kWh (based on 2020)</t>
  </si>
  <si>
    <t>Forecasted along the scenarios of the baseline study</t>
  </si>
  <si>
    <t>[28], [29]</t>
  </si>
  <si>
    <t>Heat prices in ct/kWh (based on 2020)</t>
  </si>
  <si>
    <t>[29],[30]</t>
  </si>
  <si>
    <t>References</t>
  </si>
  <si>
    <t>1.</t>
  </si>
  <si>
    <t>Benemann, J. Microalgae for Biofuels and Animal Feeds. Energies 2013, 6, 5869–5886, doi:10.3390/en6115869.</t>
  </si>
  <si>
    <t>2.</t>
  </si>
  <si>
    <t>Norsker, N.-H.; Barbosa, M.J.; Vermuë, M.H.; Wijffels, R.H. Microalgal production — A close look at the economics. Biotechnology Advances 2011, 29, 24–27, doi:10.1016/j.biotechadv.2010.08.005.</t>
  </si>
  <si>
    <t>3.</t>
  </si>
  <si>
    <t>Dahms, T.; Oehmke, C.; Kowatsch, A.; Abel, S.; Wichmann, S.; Wichtmann, W.; Schröder, C. Klimaschutz auf Moorböden. Lösungsansätze und Best-Practice-Beispiele. Available online: https://www.moorwissen.de/files/doc/publikationen/paludi_pellets_broschuere/downloads/Dahms%20et%20al.%20%282017%29%20Paludi-Pellets-Brosch%C3%BCre.pdf.</t>
  </si>
  <si>
    <t>4.</t>
  </si>
  <si>
    <t>Thrän, D.; Lauer, M.; Dotzauer, M.; Kalcher, J.; Oehmichen, K.; Majer, S.; Millinger, M.; Jordan, M. Technoökonomische Analyse und Transformationspfade des energetischen Biomassepotentials (TATBIO): Endbericht zu FKZ 03MAP362, Leipzig, 2019.</t>
  </si>
  <si>
    <t>5.</t>
  </si>
  <si>
    <t>Jong, S. de; Hoefnagels, R.; Faaij, A.; Slade, R.; Mawhood, R.; Junginger, M. The feasibility of short-term production strategies for renewable jet fuels - a comprehensive techno-economic comparison. Biofuels, Bioprod. Bioref. 2015, 9, 778–800, doi:10.1002/bbb.1613.</t>
  </si>
  <si>
    <t>6.</t>
  </si>
  <si>
    <t>Peters, D.; Stojcheva, V. Crude tall oil low ILUC risk assessment: Comparing global supply and demand. Available online: https://www.upmbiofuels.com/siteassets/documents/other-publications/ecofys-crude-tall-oil-low-iluc-risk-assessment-report.pdf.</t>
  </si>
  <si>
    <t>7.</t>
  </si>
  <si>
    <t>Greenea. Biofuels futures prices and market analysis for waste-derived biodiesel UCOME and TME and Used Cooking oil. Available online: https://www.greenea.com/en/market-analysis/ (accessed on 25 January 2023).</t>
  </si>
  <si>
    <t>8.</t>
  </si>
  <si>
    <t>Palm Oil Analytics. Palm Fatty Acid Distillate (PFAD) - FOB Malaysia. Available online: https://www.palmoilanalytics.com/price/palm-fatty-acid-distillate-pfad-fob-malaysia/ (accessed on 25 January 2023).</t>
  </si>
  <si>
    <t>9.</t>
  </si>
  <si>
    <t>Millinger, M.; Meisel, K.; Thrän, D. Greenhouse gas abatement optimal deployment of biofuels from crops in Germany. Transportation Research Part D: Transport and Environment 2019, 69, 265–275, doi:10.1016/j.trd.2019.02.005.</t>
  </si>
  <si>
    <t>10.</t>
  </si>
  <si>
    <t>Agrarmarkt Informations-Gesellschaft mbH. Marktwoche Ölsaaten und Biokraftstoffe.: Wöchentlicher Newsletter, 2020.</t>
  </si>
  <si>
    <t>11.</t>
  </si>
  <si>
    <t>Mendes, F.M.; Dias, M.O.S.; Ferraz, A.; Milagres, A.M.F.; Santos, J.C.; Bonomi, A. Techno-economic impacts of varied compositional profiles of sugarcane experimental hybrids on a biorefinery producing sugar, ethanol and electricity. Chemical Engineering Research and Design 2017, 125, 72–78, doi:10.1016/j.cherd.2017.06.023.</t>
  </si>
  <si>
    <t>12.</t>
  </si>
  <si>
    <t>C.A.R.M.E.N. e.V. Marktpreisvergleich: Preisentwicklung bei Heizöl, Erdgas, Holzpellets und Hackschnitzel. Available online: https://www.carmen-ev.de/service/marktueberblick/marktpreise-energieholz/marktpreisvergleich/ (accessed on 25 January 2023).</t>
  </si>
  <si>
    <t>13.</t>
  </si>
  <si>
    <t>Agentur für Erneuerbare Energien. Holzenergie in Deutschland. Available online: https://digital.zlb.de/viewer/api/v1/records/15776806/files/images/317.Renews_Spezial_Holzenergie_Japan_DE_Mar14.pdf/full.pdf.</t>
  </si>
  <si>
    <t>14.</t>
  </si>
  <si>
    <t>Verband der Chemischen Industrie e.V. Chemiewirtschaft in Zahlen online. Available online: https://www.vci.de/die-branche/zahlen-berichte/chemiewirtschaft-in-zahlen-online.jsp (accessed on 25 January 2023).</t>
  </si>
  <si>
    <t>15.</t>
  </si>
  <si>
    <t>finanzen.net. Erdgaspreis - Natural Gas historische Kurse in Dollar. Available online: https://www.finanzen.net/rohstoffe/erdgas-preis-natural-gas/historisch (accessed on 25 January 2023).</t>
  </si>
  <si>
    <t>16.</t>
  </si>
  <si>
    <t>Fraunhofer-Institut für Solare Energiesysteme ISE. Studie: Stromgestehungskosten erneuerbare Energien - Fraunhofer ISE. Available online: https://www.ise.fraunhofer.de/de/veroeffentlichungen/studien/studie-stromgestehungskosten-erneuerbare-energien.html (accessed on 25 January 2023).</t>
  </si>
  <si>
    <t>17.</t>
  </si>
  <si>
    <t>Bundesministerium für Wirtschaft und Energie. Bekanntmachung zur Pkw-Energieverbrauchskennzeichnungsverordnung. Available online: https://www.bmwi.de/Redaktion/DE/Downloads/B/bekanntmachung-zur-pkw-energieverbrauchskennzeichnungsverordnung-preisliste.pdf?__blob=publicationFile&amp;v=4.</t>
  </si>
  <si>
    <t>18.</t>
  </si>
  <si>
    <t>U.S. Energy Information Administration. Spot Prices for Crude Oil and Petroleum Products. Available online: https://www.eia.gov/dnav/pet/pet_pri_spt_s1_a.htm (accessed on 25 January 2023).</t>
  </si>
  <si>
    <t>19.</t>
  </si>
  <si>
    <t>Methanex. Monthly Average Regional Posted Contract Price History. Available online: https://www.methanex.com/sites/default/files/methanol-price/MxAvgPrice_Aug%2031%2C%202018.pdf.</t>
  </si>
  <si>
    <t>20.</t>
  </si>
  <si>
    <t>Statista. Wasserstoff: Produktionskosten nach Typ bis 2050 | Statista. Available online: https://de.statista.com/statistik/daten/studie/1195863/umfrage/produktionskosten-von-wasserstoff-nach-wasserstofftyp-in-deutschland/#statisticContainer (accessed on 25 January 2023).</t>
  </si>
  <si>
    <t>21.</t>
  </si>
  <si>
    <t>Brynolf, S.; Taljegard, M.; Grahn, M.; Hansson, J. Electrofuels for the transport sector: A review of production costs. Renewable and Sustainable Energy Reviews 2018, 81, 1887–1905, doi:10.1016/j.rser.2017.05.288.</t>
  </si>
  <si>
    <t>22.</t>
  </si>
  <si>
    <t>Peters, M.S.; Timmerhaus, K.D.; West, R.E. Plant design and economics for chemical engineers, 5. ed., internat. ed.; McGraw-Hill: Boston, 2004, ISBN 9780071240444.</t>
  </si>
  <si>
    <t>23.</t>
  </si>
  <si>
    <t>Deutsche Melasse: Melasse, Zuckerrübenmelasse und Zuckerrohrmelasse Marktberichte. Available online: https://www.deutsche-melasse.de/marktberichte/ (accessed on 25 January 2023).</t>
  </si>
  <si>
    <t>24.</t>
  </si>
  <si>
    <t>Zech, K.; Meisel, K.; Brosowski, A.; Toft, L.V.; Müller-Langer, F. Environmental and economic assessment of the Inbicon lignocellulosic ethanol technology. Applied Energy 2016, 347–356, doi:10.1016/j.apenergy.2016.03.057.</t>
  </si>
  <si>
    <t>25.</t>
  </si>
  <si>
    <t>F.O. Licht. World Ethanol and Biofuels Report, 2015-2020.</t>
  </si>
  <si>
    <t>26.</t>
  </si>
  <si>
    <t>finanzen.net. Naphtha in Euro und Dollar | Naphthapreis | Aktueller Naphthakurs | finanzen.net. Available online: https://www.finanzen.net/rohstoffe/naphthapreis (accessed on 25 January 2023).</t>
  </si>
  <si>
    <t>27.</t>
  </si>
  <si>
    <t>U.S. Energy Information Administration. U.S. Gulf Coast Kerosene-Type Jet Fuel Spot Price FOB (Dollars per Gallon). Available online: https://www.eia.gov/dnav/pet/hist/LeafHandler.ashx?n=PET&amp;s=EER_EPJK_PF4_RGC_DPG&amp;f=A (accessed on 25 January 2023).</t>
  </si>
  <si>
    <t>28.</t>
  </si>
  <si>
    <t>Umweltbundesamt. Wege in eine ressourcenschonende Treibhausgasneutralität – RESCUE: Langfassung. Available online: https://www.umweltbundesamt.de/rescue (accessed on 25 January 2023).</t>
  </si>
  <si>
    <t>29.</t>
  </si>
  <si>
    <t>finanzen.net. EEX Strompreis Phelix DE historische Kurse in Euro | finanzen.net. Available online: https://www.finanzen.net/rohstoffe/eex-strompreis/historisch (accessed on 25 January 2023).</t>
  </si>
  <si>
    <t>30.</t>
  </si>
  <si>
    <t>Umweltbundesamt. Energieverbrauch für fossile und erneuerbare Wärme. Available online: https://www.umweltbundesamt.de/daten/energie/energieverbrauch-fuer-fossile-erneuerbare-waerme#warmeverbrauch-und-erzeugung-nach-sektoren (accessed on 25 January 2023). 5-43 Development of final energy demand by heating technology and Table 5-19, slightly simplified</t>
  </si>
  <si>
    <t>Sc.1</t>
  </si>
  <si>
    <t>Sc.4</t>
  </si>
  <si>
    <t>Sc.2</t>
  </si>
  <si>
    <t>Sc.3</t>
  </si>
  <si>
    <t>Sc.5</t>
  </si>
  <si>
    <t>MIN/MAX</t>
  </si>
  <si>
    <t>t TM (mittel)</t>
  </si>
  <si>
    <t>Tallöl</t>
  </si>
  <si>
    <t>Sc.1, Sc.2, Sc.3, Sc.5</t>
  </si>
  <si>
    <t>2020 (based on 2015 data)</t>
  </si>
  <si>
    <t>rounded to thousands</t>
  </si>
  <si>
    <t>Biomass categories</t>
  </si>
  <si>
    <t>energetic use</t>
  </si>
  <si>
    <t>Imports*</t>
  </si>
  <si>
    <t>energetic use + mobilisation for energy purposes</t>
  </si>
  <si>
    <t xml:space="preserve">   Imports</t>
  </si>
  <si>
    <t>Model result</t>
  </si>
  <si>
    <t>t TM (medium)</t>
  </si>
  <si>
    <t>Animal excrements</t>
  </si>
  <si>
    <t>Green waste</t>
  </si>
  <si>
    <t>Residual forest wood</t>
  </si>
  <si>
    <t>(Ind.) waste wood</t>
  </si>
  <si>
    <t>Waste wood</t>
  </si>
  <si>
    <t>Other wood</t>
  </si>
  <si>
    <t>Sawmill by-products and wood shavings</t>
  </si>
  <si>
    <t>Hay</t>
  </si>
  <si>
    <t>Waste paper</t>
  </si>
  <si>
    <t>Black liquor</t>
  </si>
  <si>
    <t>Paludiculture</t>
  </si>
  <si>
    <t>Sugar beet</t>
  </si>
  <si>
    <t>Rape seed</t>
  </si>
  <si>
    <t>Corn silage</t>
  </si>
  <si>
    <t>Corn grain</t>
  </si>
  <si>
    <t>Wheat silage</t>
  </si>
  <si>
    <t>* The BLE report and other sources do not show how much of each type of residual fuel is imported, but imported methanol and used cooking oils do. In the BLE report, everything is summarised under residual and waste materials</t>
  </si>
  <si>
    <t>However, in the case of fuels from residual and waste materials, it can be seen that more biofuels are imported on the basis of residual and waste materials than from domestic raw materials/production</t>
  </si>
  <si>
    <t>KWK-Erzeugung</t>
  </si>
  <si>
    <t>Braunkohle Kraftwerk</t>
  </si>
  <si>
    <t>Steinkohle Kraftwerk</t>
  </si>
  <si>
    <t>GuD-Kraftwerk</t>
  </si>
  <si>
    <t>Gasturbinen-Kraftwerk</t>
  </si>
  <si>
    <t>Biogasanlage (BGA) mit Vor-Ort-Verstromung</t>
  </si>
  <si>
    <t>Biomethan-BHWK</t>
  </si>
  <si>
    <t>Biomethan-GUD</t>
  </si>
  <si>
    <t>Stromerzeuger</t>
  </si>
  <si>
    <t>Biomethan-GT</t>
  </si>
  <si>
    <t>Holzheizkraftwerk</t>
  </si>
  <si>
    <t>Altholzheizkraftwerk</t>
  </si>
  <si>
    <t>Klärschlammvergärung mit Vor-Ort-Verstromung</t>
  </si>
  <si>
    <t>Papier-Zellstoff-KWK</t>
  </si>
  <si>
    <t>Holzvergaser-BHKW</t>
  </si>
  <si>
    <t>Wärmeerzeugung</t>
  </si>
  <si>
    <t>Elektroheizung</t>
  </si>
  <si>
    <t>Solarthermieanlage</t>
  </si>
  <si>
    <t>Luft-Wasser Wärmepumpe</t>
  </si>
  <si>
    <t>PV-Anlage</t>
  </si>
  <si>
    <t>Holzpellet-Kessel leicht</t>
  </si>
  <si>
    <t>Scheitholz-Ofen</t>
  </si>
  <si>
    <t>Mikro-Holzgas-BHKW für torrefizierte Holzpellets</t>
  </si>
  <si>
    <t>Gasbrennwert-Kessel</t>
  </si>
  <si>
    <t>PEM-Brennstoffzelle</t>
  </si>
  <si>
    <t>Holzpellet integrierter Kessel</t>
  </si>
  <si>
    <t>Scheitholz-Vergaserkessel</t>
  </si>
  <si>
    <t>Holzhackschnitzel-Kessel</t>
  </si>
  <si>
    <t>Luft-Wasser Wärmepumpe 60kW</t>
  </si>
  <si>
    <t>Steinkohleheizkraftwerk</t>
  </si>
  <si>
    <t>Gas- und Dampfturbinenkraftwerk</t>
  </si>
  <si>
    <t>Holzhackschnitzel-Retrofit Steinkohleheizkraftwerk</t>
  </si>
  <si>
    <t>Hochtemperatur-Wärmepumpe</t>
  </si>
  <si>
    <t>Biomethan-BHKW</t>
  </si>
  <si>
    <t>Altholz-Heizkraftwerk</t>
  </si>
  <si>
    <t>Holzhackschnitzelvergaser-BHKW</t>
  </si>
  <si>
    <t>Luft-Wärmepumpe</t>
  </si>
  <si>
    <t>Erdgas-Kessel</t>
  </si>
  <si>
    <t>Gasturbinen-Heizkraftwerk</t>
  </si>
  <si>
    <t>Biomethan-Gasturbine mit Dampferzeuger</t>
  </si>
  <si>
    <t>Holzgas-Gasturbinen-Heizkraftwerk</t>
  </si>
  <si>
    <t>Gasbetriebener Dampferzeuger</t>
  </si>
  <si>
    <t>Lichtbogenofen</t>
  </si>
  <si>
    <t>Biomethan Direktfeuerung</t>
  </si>
  <si>
    <t>Holzgas-Direktfeuerung</t>
  </si>
  <si>
    <t>Biomasse Direktfeuerung</t>
  </si>
  <si>
    <t>Biokraftstoffproduktion</t>
  </si>
  <si>
    <t>Biomethananlage für NawaRo</t>
  </si>
  <si>
    <t>Biomethananlage für Abfall- und Reststoffe</t>
  </si>
  <si>
    <t>Bioethanolanlage für Zuckerrüben</t>
  </si>
  <si>
    <t>Bioethanolanlage für Getreidestärke</t>
  </si>
  <si>
    <t>Bioethanolanlage für Ligoncellulose</t>
  </si>
  <si>
    <t>Bioethanolanlage für Rohrzucker</t>
  </si>
  <si>
    <t>Rapsmethylestheranlage</t>
  </si>
  <si>
    <t>Altspeiseölversehterungsanalge</t>
  </si>
  <si>
    <t>Tierfettmethylestheranalge</t>
  </si>
  <si>
    <t>Palmölmethylesther</t>
  </si>
  <si>
    <t>Soyaölmethylsäureesther</t>
  </si>
  <si>
    <t>Hydrotreating-Anlage für Rapsöl | Dieseloptimiert</t>
  </si>
  <si>
    <t>Hydrotreating-Anlage für Rapsöl | Kerosinoptimiert</t>
  </si>
  <si>
    <t>Hydrotreating-Anlage für Palmöl | Dieseloptimiert</t>
  </si>
  <si>
    <t>Hydrotreating-Anlage für Palmöl | Kerosinoptimiert</t>
  </si>
  <si>
    <t>Hydrotreating-Anlage für Altspeiseöl | Dieseloptimiert</t>
  </si>
  <si>
    <t>Hydrotreating-Anlage für Altspeiseöl | Kerosinoptimiert</t>
  </si>
  <si>
    <t>Synthesegasanalge für feste Biomasse</t>
  </si>
  <si>
    <t>Biomass-to-Liquid-Anlage | Dieseloptimiert</t>
  </si>
  <si>
    <t>Biomass-to-Liquid-Anlage | Kerosinoptimiert</t>
  </si>
  <si>
    <t>Elektrolyse-Synthese-Kraftstoffproduktion</t>
  </si>
  <si>
    <t>Power-to-Gas - Methanproduktion</t>
  </si>
  <si>
    <t>Power-to-Gas - Wasserstoffproduktion</t>
  </si>
  <si>
    <t>Power-to-Liquid-Produktion  | Dieseloptimiert</t>
  </si>
  <si>
    <t>Power-to-Liquid-Produktion  | Kerosinoptimiert</t>
  </si>
  <si>
    <t>Konventionelle Kraftstoffproduktion</t>
  </si>
  <si>
    <t>Liquified Petroleoum Gas</t>
  </si>
  <si>
    <t>Compressed Natrual Gas</t>
  </si>
  <si>
    <t>Liquified Natrual Gas</t>
  </si>
  <si>
    <t>Biomethanolanlage</t>
  </si>
  <si>
    <t>Wasserstoffproduktionsanlage für Biomasse</t>
  </si>
  <si>
    <t>verflüssigtes SNG</t>
  </si>
  <si>
    <t>verflüssigtes Abfallbiomethan</t>
  </si>
  <si>
    <t>verflüssigtes NawaRo-Biomethan</t>
  </si>
  <si>
    <t>Power-to-Methanol</t>
  </si>
  <si>
    <t>Methanol aus Schwarzlauge</t>
  </si>
  <si>
    <t>Biomethanol-to-Gasoline</t>
  </si>
  <si>
    <t>Ethanol zu Kerosin</t>
  </si>
  <si>
    <t xml:space="preserve">Power-to-liquified-Gas </t>
  </si>
  <si>
    <t>η_el</t>
  </si>
  <si>
    <t>η_el 2030 maximal</t>
  </si>
  <si>
    <t>η_th</t>
  </si>
  <si>
    <r>
      <t xml:space="preserve">η_th 2030 konservativ
</t>
    </r>
    <r>
      <rPr>
        <sz val="11"/>
        <rFont val="Calibri"/>
        <family val="2"/>
      </rPr>
      <t>set as "base" in scenarios</t>
    </r>
  </si>
  <si>
    <r>
      <t xml:space="preserve">η_th 2030 maximal
</t>
    </r>
    <r>
      <rPr>
        <sz val="11"/>
        <rFont val="Calibri"/>
        <family val="2"/>
      </rPr>
      <t>set as "maximum" in scenarios</t>
    </r>
  </si>
  <si>
    <t>Steinkohle Direktfeuerung</t>
  </si>
  <si>
    <t>COP 2030 maximal</t>
  </si>
  <si>
    <t>η_chem</t>
  </si>
  <si>
    <t>η_chem 2030 maximal</t>
  </si>
  <si>
    <t>Lignite PP_1000MW</t>
  </si>
  <si>
    <t>Hard coal PP_800MW</t>
  </si>
  <si>
    <t>CCGT 500MW</t>
  </si>
  <si>
    <t>GT 200MW</t>
  </si>
  <si>
    <t>BGP 75k PQ1 slurry</t>
  </si>
  <si>
    <t>BGP 1M PQ2.2 energy crops</t>
  </si>
  <si>
    <t>BGP 1M25 PQ2.2 energy crops/manure</t>
  </si>
  <si>
    <t>BGP 2M5 PQ5 energy crops/manure</t>
  </si>
  <si>
    <t>BGP 1M5 PQ2.2 waste</t>
  </si>
  <si>
    <t>BMCHPU_500k_PQ6,7</t>
  </si>
  <si>
    <t>BMCHPU_1M_PQ6,7</t>
  </si>
  <si>
    <t>BMCHPU_10M_PQ6,7</t>
  </si>
  <si>
    <t>CCGT 525M</t>
  </si>
  <si>
    <t>OCGT 320M</t>
  </si>
  <si>
    <t>WPP 4M8</t>
  </si>
  <si>
    <t>WWPP 20M</t>
  </si>
  <si>
    <t>SSF 30kPE - 45kW</t>
  </si>
  <si>
    <t>PPPP_28M</t>
  </si>
  <si>
    <t>WG-CHPU 165k</t>
  </si>
  <si>
    <t>WG-CHPU 68k</t>
  </si>
  <si>
    <t>WG-CHPU 49k</t>
  </si>
  <si>
    <t>WG-CHPU 35k</t>
  </si>
  <si>
    <t>electric heater 3.5kW</t>
  </si>
  <si>
    <t>solar thermal plant 11.6m^{-2}</t>
  </si>
  <si>
    <t>air-water heat pump 4kW</t>
  </si>
  <si>
    <t>photovolaik plant 2.5kW</t>
  </si>
  <si>
    <t>air-water heat pump 3kW</t>
  </si>
  <si>
    <t>photovolaik plant 1.1kW</t>
  </si>
  <si>
    <t>solar thermal plant 6.954m^{-2}</t>
  </si>
  <si>
    <t>wood pellet boiler light 1.7kW</t>
  </si>
  <si>
    <t>solar thermal plant 8.7m^{-2}</t>
  </si>
  <si>
    <t>log wood stove 5kW</t>
  </si>
  <si>
    <t>micro wood gas CHPU for torrefied wood pellets 2.4kW</t>
  </si>
  <si>
    <t>gas condensing boiler 5.5kW</t>
  </si>
  <si>
    <t>gas condensing boiler 5.9kW</t>
  </si>
  <si>
    <t>solar thermal plant 3.12m^{-2}</t>
  </si>
  <si>
    <t>gas fired PEM fuel cell 5.5kW</t>
  </si>
  <si>
    <t>air-water heat pump 5kW</t>
  </si>
  <si>
    <t>photovolaik plant 4kW</t>
  </si>
  <si>
    <t>wood pellet integrated boiler 5kW</t>
  </si>
  <si>
    <t>wood pellet boiler light 4.9kW</t>
  </si>
  <si>
    <t>solar thermal plant 4.6m^{-2}</t>
  </si>
  <si>
    <t>log wood gasification boiler 20kW</t>
  </si>
  <si>
    <t>micro wood gas CHPU for torrefied wood pellets 3.5kW</t>
  </si>
  <si>
    <t>photovolaik plant 2kW</t>
  </si>
  <si>
    <t>micro wood gas CHPU for torrefied wood pellets 6.1kW</t>
  </si>
  <si>
    <t>gas condensing boiler 7.5kW</t>
  </si>
  <si>
    <t>gas condensing boiler 7.4kW</t>
  </si>
  <si>
    <t>gas condensing boiler 7kW</t>
  </si>
  <si>
    <t>solar thermal plant 4.2m^{-2}</t>
  </si>
  <si>
    <t>gas fired PEM fuel cell 6.6kW</t>
  </si>
  <si>
    <t>air-water heat pump 7.5kW</t>
  </si>
  <si>
    <t>photovolaik plant 5kW</t>
  </si>
  <si>
    <t>air-water heat pump 4.5kW</t>
  </si>
  <si>
    <t>photovolaik plant 3kW</t>
  </si>
  <si>
    <t>wood pellet integrated boiler 7.5kW</t>
  </si>
  <si>
    <t>wood pellet boiler light 6.2kW</t>
  </si>
  <si>
    <t>solar thermal plant 7m^{-2}</t>
  </si>
  <si>
    <t>micro wood gas CHPU for torrefied wood pellets 5kW</t>
  </si>
  <si>
    <t>gas condensing boiler 11.1kW</t>
  </si>
  <si>
    <t>gas condensing boiler 10.2kW</t>
  </si>
  <si>
    <t>log wood stove 8kW</t>
  </si>
  <si>
    <t>gas condensing boiler 10.5kW</t>
  </si>
  <si>
    <t>solar thermal plant 6.3m^{-2}</t>
  </si>
  <si>
    <t>gas fired PEM fuel cell 9.9kW</t>
  </si>
  <si>
    <t>air-water heat pump 10kW</t>
  </si>
  <si>
    <t>photovolaik plant 7kW</t>
  </si>
  <si>
    <t>air-water heat pump 6kW</t>
  </si>
  <si>
    <t>wood pellet integrated boiler 10.5kW</t>
  </si>
  <si>
    <t>wood pellet boiler light 9.6kW</t>
  </si>
  <si>
    <t>solar thermal plant 9.3m^{-2}</t>
  </si>
  <si>
    <t>micro wood gas CHPU for torrefied wood pellets 6.6kW</t>
  </si>
  <si>
    <t>gas condensing boiler 15.3kW</t>
  </si>
  <si>
    <t>gas condensing boiler 13.8kW</t>
  </si>
  <si>
    <t>gas condensing boiler 13.9kW</t>
  </si>
  <si>
    <t>solar thermal plant 7.35m^{-2}</t>
  </si>
  <si>
    <t>gas fired PEM fuel cell 13kW</t>
  </si>
  <si>
    <t>air-water heat pump 15kW</t>
  </si>
  <si>
    <t>photovolaik plant 9kW</t>
  </si>
  <si>
    <t>air-water heat pump 9kW</t>
  </si>
  <si>
    <t>photovolaik plant 6kW</t>
  </si>
  <si>
    <t>log wood stove 9kW</t>
  </si>
  <si>
    <t>wood pellet integrated boiler 14.9kW</t>
  </si>
  <si>
    <t>wood pellet boiler light 12.3kW</t>
  </si>
  <si>
    <t>solar thermal plant 10.88888888888889m^{-2}</t>
  </si>
  <si>
    <t>micro wood gas CHPU for torrefied wood pellets 8.8kW</t>
  </si>
  <si>
    <t>gas condensing boiler 21.7kW</t>
  </si>
  <si>
    <t>gas condensing boiler 19kW</t>
  </si>
  <si>
    <t>solar thermal plant 11.4m^{-2}</t>
  </si>
  <si>
    <t>gas fired PEM fuel cell 17.9kW</t>
  </si>
  <si>
    <t>air-water heat pump 20kW</t>
  </si>
  <si>
    <t>photovolaik plant 12kW</t>
  </si>
  <si>
    <t>wood pellet integrated boiler 20kW</t>
  </si>
  <si>
    <t>solar thermal plant 19m^{-2}</t>
  </si>
  <si>
    <t>wood gas CHPU for wood pellets 10.6kW</t>
  </si>
  <si>
    <t>micro wood gas CHPU for torrefied wood pellets 23kW</t>
  </si>
  <si>
    <t>gas condensing boiler 82.5kW</t>
  </si>
  <si>
    <t>gas condensing boiler 87.4kW</t>
  </si>
  <si>
    <t>solar thermal plant 36.7m^{-2}</t>
  </si>
  <si>
    <t>gas fired PEM fuel cell 39.38461538461538kW</t>
  </si>
  <si>
    <t>gas condensing boiler 54.61538461538462kW</t>
  </si>
  <si>
    <t>air-water heat pump 80kW</t>
  </si>
  <si>
    <t>photovolaik plant 52kW</t>
  </si>
  <si>
    <t>wood pellet integrated boiler 70.1kW</t>
  </si>
  <si>
    <t>solar thermal plant 61.9m^{-2}</t>
  </si>
  <si>
    <t>wood gas CHPU for wood pellets 78.6kW</t>
  </si>
  <si>
    <t>wood gas CHPU for wood pellets 43.4kW</t>
  </si>
  <si>
    <t>air-water heat pump 50kW</t>
  </si>
  <si>
    <t>photovolaik plant 24kW</t>
  </si>
  <si>
    <t>gas condensing boiler 44.9kW</t>
  </si>
  <si>
    <t>gas condensing boiler 33kW</t>
  </si>
  <si>
    <t>solar thermal plant 69m^{-2}</t>
  </si>
  <si>
    <t>gas fired PEM fuel cell 19.864864864864867kW</t>
  </si>
  <si>
    <t>gas condensing boiler 19.135135135135133kW</t>
  </si>
  <si>
    <t>air-water heat pump 40kW</t>
  </si>
  <si>
    <t>solar thermal plant 82m^{-2}</t>
  </si>
  <si>
    <t>photovolaik plant 16kW</t>
  </si>
  <si>
    <t>wood pellet integrated boiler 44.9kW</t>
  </si>
  <si>
    <t>solar thermal plant 73m^{-2}</t>
  </si>
  <si>
    <t>air-water heat pump 30kW</t>
  </si>
  <si>
    <t>wood pellet integrated boiler 23kW</t>
  </si>
  <si>
    <t>photovolaik plant 19kW</t>
  </si>
  <si>
    <t>wood gas CHPU for wood pellets 34.8kW</t>
  </si>
  <si>
    <t>gas condensing boiler 25.4kW</t>
  </si>
  <si>
    <t>gas condensing boiler 25kW</t>
  </si>
  <si>
    <t>solar thermal plant 14.1m^{-2}</t>
  </si>
  <si>
    <t>gas fired PEM fuel cell 23.5kW</t>
  </si>
  <si>
    <t>air-water heat pump 25kW</t>
  </si>
  <si>
    <t>photovolaik plant 14kW</t>
  </si>
  <si>
    <t>wood pellet integrated boiler 25.9kW</t>
  </si>
  <si>
    <t>log wood gasification boiler 30kW</t>
  </si>
  <si>
    <t>solar thermal plant 20.9m^{-2}</t>
  </si>
  <si>
    <t>wood gas CHPU for wood pellets 13.4kW</t>
  </si>
  <si>
    <t>air-water heat pump 12kW</t>
  </si>
  <si>
    <t>gas condensing boiler 31.3kW</t>
  </si>
  <si>
    <t>gas condensing boiler 28kW</t>
  </si>
  <si>
    <t>solar thermal plant 60m^{-2}</t>
  </si>
  <si>
    <t>gas fired PEM fuel cell 25.9kW</t>
  </si>
  <si>
    <t>photovolaik plant 29kW</t>
  </si>
  <si>
    <t>wood pellet integrated boiler 31kW</t>
  </si>
  <si>
    <t>wood pellet integrated boiler 27kW</t>
  </si>
  <si>
    <t>wood gas CHPU for wood pellets 28.6kW</t>
  </si>
  <si>
    <t>wood gas CHPU for wood pellets 22.7kW</t>
  </si>
  <si>
    <t>photovolaik plant 13kW</t>
  </si>
  <si>
    <t>gas condensing boiler 48.3kW</t>
  </si>
  <si>
    <t>gas condensing boiler 37.6kW</t>
  </si>
  <si>
    <t>solar thermal plant 103.57142857142857m^{-2}</t>
  </si>
  <si>
    <t>gas fired PEM fuel cell 25.162162162162165kW</t>
  </si>
  <si>
    <t>gas condensing boiler 28.837837837837835kW</t>
  </si>
  <si>
    <t>air-water heat pump 45kW</t>
  </si>
  <si>
    <t>solar thermal plant 126.08695652173913m^{-2}</t>
  </si>
  <si>
    <t>wood pellet integrated boiler 35kW</t>
  </si>
  <si>
    <t>solar thermal plant 108.75m^{-2}</t>
  </si>
  <si>
    <t>wood chips boiler 35.6kW</t>
  </si>
  <si>
    <t>photovolaik plant 25kW</t>
  </si>
  <si>
    <t>wood pellet integrated boiler 33.8kW</t>
  </si>
  <si>
    <t>wood gas CHPU for wood pellets 33.8kW</t>
  </si>
  <si>
    <t>photovolaik plant 17kW</t>
  </si>
  <si>
    <t>gas condensing boiler 44.8kW</t>
  </si>
  <si>
    <t>gas condensing boiler 40.6kW</t>
  </si>
  <si>
    <t>solar thermal plant 22.2m^{-2}</t>
  </si>
  <si>
    <t>photovolaik plant 21kW</t>
  </si>
  <si>
    <t>wood pellet integrated boiler 37kW</t>
  </si>
  <si>
    <t>wood pellet integrated boiler 42.3kW</t>
  </si>
  <si>
    <t>wood gas CHPU for wood pellets 16.1kW</t>
  </si>
  <si>
    <t>photovolaik plant 10kW</t>
  </si>
  <si>
    <t>gas condensing boiler 35kW</t>
  </si>
  <si>
    <t>gas condensing boiler 31.7kW</t>
  </si>
  <si>
    <t>solar thermal plant 21m^{-2}</t>
  </si>
  <si>
    <t>gas fired PEM fuel cell 15.666666666666666kW</t>
  </si>
  <si>
    <t>gas condensing boiler 14.333333333333334kW</t>
  </si>
  <si>
    <t>air-water heat pump 35kW</t>
  </si>
  <si>
    <t>solar thermal plant 31.1m^{-2}</t>
  </si>
  <si>
    <t>wood pellet integrated boiler 36.1kW</t>
  </si>
  <si>
    <t>solar thermal plant 22.1m^{-2}</t>
  </si>
  <si>
    <t>wood pellet integrated boiler 30kW</t>
  </si>
  <si>
    <t>wood gas CHPU for wood pellets 30.7kW</t>
  </si>
  <si>
    <t>photovolaik plant 11kW</t>
  </si>
  <si>
    <t>gas condensing boiler 62.5kW</t>
  </si>
  <si>
    <t>gas condensing boiler 56.7kW</t>
  </si>
  <si>
    <t>solar thermal plant 27.3m^{-2}</t>
  </si>
  <si>
    <t>gas fired PEM fuel cell 26.384615384615383kW</t>
  </si>
  <si>
    <t>gas condensing boiler 30.615384615384617kW</t>
  </si>
  <si>
    <t>air-water heat pump 60kW</t>
  </si>
  <si>
    <t>photovolaik plant 27kW</t>
  </si>
  <si>
    <t>wood pellet integrated boiler 54.8kW</t>
  </si>
  <si>
    <t>photovolaik plant 20kW</t>
  </si>
  <si>
    <t>wood pellet integrated boiler 50kW</t>
  </si>
  <si>
    <t>wood gas CHPU for wood pellets 29.4kW</t>
  </si>
  <si>
    <t>hard coal fired cogeneration plant 11400kW</t>
  </si>
  <si>
    <t>combined cycle gas turbine 11400kW</t>
  </si>
  <si>
    <t>wood chips retro fitted hard coal fired cogeneration plant 11400kW</t>
  </si>
  <si>
    <t>high temperature heat pump 4500kW</t>
  </si>
  <si>
    <t>solar thermal plant 2000m^{-2}</t>
  </si>
  <si>
    <t>biomethane CHPU 6250kW</t>
  </si>
  <si>
    <t>waste wood heating unit 4650kW</t>
  </si>
  <si>
    <t>wood chips boiler NonekW</t>
  </si>
  <si>
    <t>wood chips gasification CHPU 8400kW</t>
  </si>
  <si>
    <t>gas condensing boiler 5000kW</t>
  </si>
  <si>
    <t>gas fired PEM fuel cell 5000kW</t>
  </si>
  <si>
    <t>high temperature heat pump 5500kW</t>
  </si>
  <si>
    <t>solar thermal plant 1750m^{-2}</t>
  </si>
  <si>
    <t>wood chips boiler 5150kW</t>
  </si>
  <si>
    <t>wood chips gasification CHPU 3570kW</t>
  </si>
  <si>
    <t>heat pump 3300kW</t>
  </si>
  <si>
    <t>wood chips boiler 4670kW</t>
  </si>
  <si>
    <t>natural gas boiler 3370kW</t>
  </si>
  <si>
    <t>gas turbine 3370kW</t>
  </si>
  <si>
    <t>biomethane gas turbine with steam generator 3370kW</t>
  </si>
  <si>
    <t>wood chips boiler 3370kW</t>
  </si>
  <si>
    <t>wood gas gas turbine 3370kW</t>
  </si>
  <si>
    <t>gas fired steam generator 5kW</t>
  </si>
  <si>
    <t>hard coal direct feed furnace NonekW</t>
  </si>
  <si>
    <t>electric arc stove NonekW</t>
  </si>
  <si>
    <t>biomethane direct furnace NonekW</t>
  </si>
  <si>
    <t>wood gas direct feed furnace NonekW</t>
  </si>
  <si>
    <t>biomass direct furnace NonekW</t>
  </si>
  <si>
    <t>BMP_RS_9</t>
  </si>
  <si>
    <t>BMP_RW_9</t>
  </si>
  <si>
    <t>BENP_SB_39</t>
  </si>
  <si>
    <t>BENP_GS_197</t>
  </si>
  <si>
    <t>BENP_LC_50</t>
  </si>
  <si>
    <t>BENP_CS_78</t>
  </si>
  <si>
    <t>RME_77</t>
  </si>
  <si>
    <t>UCOME_25</t>
  </si>
  <si>
    <t>AFME_51</t>
  </si>
  <si>
    <t>PME_80</t>
  </si>
  <si>
    <t>SME_79</t>
  </si>
  <si>
    <t>HEFA_Diesel_Rape_51</t>
  </si>
  <si>
    <t>HEFA_SAF_Rape_37</t>
  </si>
  <si>
    <t>HEFA_Diesel_Palm_51</t>
  </si>
  <si>
    <t>HEFA_SAF_Palm_36</t>
  </si>
  <si>
    <t>HEFA_Diesel_Residues_51</t>
  </si>
  <si>
    <t>HEFA_SAF_Residues_37</t>
  </si>
  <si>
    <t>SNG_63</t>
  </si>
  <si>
    <t>BTL_FT_Diesel_Ligno_22</t>
  </si>
  <si>
    <t>BTL_FT_SAF_Ligno_19</t>
  </si>
  <si>
    <t>PtG_CH4_8</t>
  </si>
  <si>
    <t>PtG_H2_0</t>
  </si>
  <si>
    <t>PTL_FT_Diesel_4</t>
  </si>
  <si>
    <t>PTL_FT_SAF_4</t>
  </si>
  <si>
    <t>LPG_1</t>
  </si>
  <si>
    <t>CNG_1</t>
  </si>
  <si>
    <t>LNG_1</t>
  </si>
  <si>
    <t>MEOH_85</t>
  </si>
  <si>
    <t>HPP_BM_2</t>
  </si>
  <si>
    <t>BTG_LNG_Ligno_63</t>
  </si>
  <si>
    <t>LNG_Residues_9</t>
  </si>
  <si>
    <t>BMP_RS_L_9</t>
  </si>
  <si>
    <t>PTL_MeOH_1</t>
  </si>
  <si>
    <t>MeOH_Black liquor_1</t>
  </si>
  <si>
    <t>BTL_MTG_Ligno_73</t>
  </si>
  <si>
    <t>ATJ_EtOH_30</t>
  </si>
  <si>
    <t>PTG_LNG_8</t>
  </si>
  <si>
    <t>Invest costs [€]</t>
  </si>
  <si>
    <t>Invest costs 2030 conservative [€]</t>
  </si>
  <si>
    <t>Invest costs 2030 minimal  [€]</t>
  </si>
  <si>
    <t>plant design type (German)</t>
  </si>
  <si>
    <t>plant design group (German)</t>
  </si>
  <si>
    <t>plant design name (English)</t>
  </si>
  <si>
    <t>η_el 2030 konservative</t>
  </si>
  <si>
    <t>Annual performance factor (APR)</t>
  </si>
  <si>
    <t>COP 2030 conservative</t>
  </si>
  <si>
    <t>η_chem 2030 consvervative</t>
  </si>
  <si>
    <t>Air-water heat pump 4kW</t>
  </si>
  <si>
    <t>Air-water heat pump 3kW</t>
  </si>
  <si>
    <t>Air-water heat pump 5kW</t>
  </si>
  <si>
    <t>Air-water heat pump 7,5kW</t>
  </si>
  <si>
    <t>Air-water heat pump 4,5kW</t>
  </si>
  <si>
    <t>Air-water heat pump 10kW</t>
  </si>
  <si>
    <t>Air-water heat pump 6kW</t>
  </si>
  <si>
    <t>Air-water heat pump 15kW</t>
  </si>
  <si>
    <t>Air-water heat pump 9kW</t>
  </si>
  <si>
    <t>Air-water heat pump 20kW</t>
  </si>
  <si>
    <t>Air-water heat pump 80kW</t>
  </si>
  <si>
    <t>Air-water heat pump 50kW</t>
  </si>
  <si>
    <t>Air-water heat pump 40kW</t>
  </si>
  <si>
    <t>Air-water heat pump 30kW</t>
  </si>
  <si>
    <t>Air-water heat pump 25kW</t>
  </si>
  <si>
    <t>Air-water heat pump 12kW</t>
  </si>
  <si>
    <t>Air-water heat pump 45kW</t>
  </si>
  <si>
    <t>Air-water heat pump 35kW</t>
  </si>
  <si>
    <t>High-temperature heat pump 4500kW</t>
  </si>
  <si>
    <t>High-temperature heat pump 5500kW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</si>
</sst>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mmm/\ yy;@"/>
    <numFmt numFmtId="165" formatCode="0.0\ &quot;%&quot;"/>
  </numFmts>
  <fonts count="8" x14ac:knownFonts="1">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name val="Calibri"/>
    </font>
    <font>
      <b/>
      <sz val="11"/>
      <name val="Calibri"/>
      <family val="2"/>
    </font>
    <font>
      <sz val="11"/>
      <name val="Calibri"/>
      <family val="2"/>
    </font>
    <font>
      <b/>
      <sz val="11"/>
      <color rgb="FFFF0000"/>
      <name val="Calibri"/>
      <family val="2"/>
      <scheme val="minor"/>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4">
    <xf numFmtId="0" fontId="0" fillId="0" borderId="0" xfId="0"/>
    <xf numFmtId="0" fontId="1" fillId="0" borderId="0" xfId="0" applyFont="1"/>
    <xf numFmtId="0" fontId="1" fillId="0" borderId="0" xfId="0" applyFont="1" applyAlignment="1">
      <alignment horizontal="center"/>
    </xf>
    <xf numFmtId="0" fontId="0" fillId="0" borderId="0" xfId="0" applyFont="1"/>
    <xf numFmtId="0" fontId="1" fillId="0" borderId="2" xfId="0" applyFont="1" applyFill="1" applyBorder="1"/>
    <xf numFmtId="0" fontId="1" fillId="0" borderId="3" xfId="0" applyFont="1" applyFill="1" applyBorder="1"/>
    <xf numFmtId="0" fontId="0" fillId="0" borderId="3" xfId="0" applyFont="1" applyFill="1" applyBorder="1" applyAlignment="1">
      <alignment horizontal="center"/>
    </xf>
    <xf numFmtId="0" fontId="0" fillId="0" borderId="3" xfId="0" applyFont="1" applyFill="1" applyBorder="1"/>
    <xf numFmtId="0" fontId="0" fillId="0" borderId="3" xfId="0" applyFont="1" applyFill="1" applyBorder="1" applyAlignment="1">
      <alignment horizontal="center" vertical="top" wrapText="1"/>
    </xf>
    <xf numFmtId="0" fontId="0" fillId="0" borderId="5" xfId="0" applyFont="1" applyFill="1" applyBorder="1"/>
    <xf numFmtId="0" fontId="0" fillId="0" borderId="6" xfId="0" applyFont="1" applyFill="1" applyBorder="1"/>
    <xf numFmtId="1" fontId="0" fillId="0" borderId="6" xfId="0" applyNumberFormat="1" applyFont="1" applyFill="1" applyBorder="1" applyAlignment="1">
      <alignment horizontal="center"/>
    </xf>
    <xf numFmtId="0" fontId="0" fillId="0" borderId="6" xfId="0" applyFont="1" applyFill="1" applyBorder="1" applyAlignment="1">
      <alignment horizontal="left"/>
    </xf>
    <xf numFmtId="1" fontId="2" fillId="0" borderId="6" xfId="0" applyNumberFormat="1" applyFont="1" applyFill="1" applyBorder="1" applyAlignment="1">
      <alignment horizontal="center"/>
    </xf>
    <xf numFmtId="0" fontId="2" fillId="0" borderId="6" xfId="0" applyFont="1" applyFill="1" applyBorder="1" applyAlignment="1">
      <alignment horizontal="center"/>
    </xf>
    <xf numFmtId="0" fontId="2" fillId="0" borderId="6" xfId="0" applyFont="1" applyFill="1" applyBorder="1" applyAlignment="1">
      <alignment horizontal="left"/>
    </xf>
    <xf numFmtId="0" fontId="0" fillId="0" borderId="6" xfId="0" applyFont="1" applyFill="1" applyBorder="1" applyAlignment="1">
      <alignment horizontal="center"/>
    </xf>
    <xf numFmtId="2" fontId="0" fillId="0" borderId="6" xfId="0" applyNumberFormat="1" applyFont="1" applyFill="1" applyBorder="1"/>
    <xf numFmtId="0" fontId="2" fillId="0" borderId="6" xfId="0" applyFont="1" applyFill="1" applyBorder="1"/>
    <xf numFmtId="0" fontId="0" fillId="0" borderId="0" xfId="0" applyFont="1" applyBorder="1"/>
    <xf numFmtId="0" fontId="0" fillId="0" borderId="0" xfId="0" applyFont="1" applyFill="1" applyBorder="1" applyAlignment="1">
      <alignment horizontal="center"/>
    </xf>
    <xf numFmtId="0" fontId="0" fillId="0" borderId="2" xfId="0" applyFont="1" applyFill="1" applyBorder="1"/>
    <xf numFmtId="1" fontId="0" fillId="0" borderId="3" xfId="0" applyNumberFormat="1" applyFont="1" applyFill="1" applyBorder="1" applyAlignment="1">
      <alignment horizontal="center"/>
    </xf>
    <xf numFmtId="0" fontId="0" fillId="0" borderId="3" xfId="0" applyFont="1" applyFill="1" applyBorder="1" applyAlignment="1">
      <alignment horizontal="left"/>
    </xf>
    <xf numFmtId="0" fontId="2" fillId="0" borderId="0" xfId="0" applyFont="1" applyFill="1" applyBorder="1" applyAlignment="1">
      <alignment horizontal="center"/>
    </xf>
    <xf numFmtId="2" fontId="0" fillId="0" borderId="6" xfId="0" applyNumberFormat="1" applyFont="1" applyFill="1" applyBorder="1" applyAlignment="1">
      <alignment horizontal="center"/>
    </xf>
    <xf numFmtId="164" fontId="0" fillId="0" borderId="6" xfId="0" applyNumberFormat="1" applyFont="1" applyFill="1" applyBorder="1" applyAlignment="1">
      <alignment horizontal="left"/>
    </xf>
    <xf numFmtId="0" fontId="0" fillId="0" borderId="6" xfId="0" applyFont="1" applyFill="1" applyBorder="1" applyAlignment="1">
      <alignment horizontal="left" vertical="center"/>
    </xf>
    <xf numFmtId="0" fontId="0" fillId="0" borderId="0" xfId="0" applyFont="1" applyFill="1" applyBorder="1"/>
    <xf numFmtId="1" fontId="0" fillId="0" borderId="0" xfId="0" applyNumberFormat="1" applyFont="1" applyFill="1" applyBorder="1" applyAlignment="1">
      <alignment horizontal="center"/>
    </xf>
    <xf numFmtId="1" fontId="0" fillId="0" borderId="8" xfId="0" applyNumberFormat="1" applyFont="1" applyFill="1" applyBorder="1" applyAlignment="1">
      <alignment horizontal="center"/>
    </xf>
    <xf numFmtId="1" fontId="0" fillId="0" borderId="9" xfId="0" applyNumberFormat="1" applyFont="1" applyFill="1" applyBorder="1" applyAlignment="1">
      <alignment horizontal="center"/>
    </xf>
    <xf numFmtId="1" fontId="0" fillId="0" borderId="5" xfId="0" applyNumberFormat="1" applyFont="1" applyFill="1" applyBorder="1" applyAlignment="1">
      <alignment horizontal="center"/>
    </xf>
    <xf numFmtId="0" fontId="0" fillId="0" borderId="1" xfId="0" applyFont="1" applyFill="1" applyBorder="1"/>
    <xf numFmtId="0" fontId="1" fillId="0" borderId="1" xfId="0" applyFont="1" applyFill="1" applyBorder="1"/>
    <xf numFmtId="1" fontId="0" fillId="0" borderId="1" xfId="0" applyNumberFormat="1" applyFont="1" applyFill="1" applyBorder="1" applyAlignment="1">
      <alignment horizontal="center"/>
    </xf>
    <xf numFmtId="0" fontId="0" fillId="0" borderId="1" xfId="0" applyFont="1" applyFill="1" applyBorder="1" applyAlignment="1">
      <alignment horizontal="left"/>
    </xf>
    <xf numFmtId="1" fontId="0" fillId="0" borderId="2" xfId="0" applyNumberFormat="1" applyFont="1" applyFill="1" applyBorder="1" applyAlignment="1">
      <alignment horizontal="center"/>
    </xf>
    <xf numFmtId="0" fontId="0" fillId="0" borderId="0" xfId="0" applyFont="1" applyFill="1" applyBorder="1" applyAlignment="1">
      <alignment horizontal="left"/>
    </xf>
    <xf numFmtId="0" fontId="1" fillId="0" borderId="1" xfId="0" applyFont="1" applyBorder="1"/>
    <xf numFmtId="0" fontId="0" fillId="0" borderId="0" xfId="0" applyAlignment="1">
      <alignment horizontal="left" vertical="center"/>
    </xf>
    <xf numFmtId="0" fontId="0" fillId="0" borderId="0" xfId="0" applyFill="1"/>
    <xf numFmtId="0" fontId="1" fillId="0" borderId="0" xfId="0" applyFont="1" applyFill="1"/>
    <xf numFmtId="0" fontId="0" fillId="0" borderId="5" xfId="0" applyFill="1" applyBorder="1"/>
    <xf numFmtId="0" fontId="0" fillId="0" borderId="5" xfId="0" applyBorder="1"/>
    <xf numFmtId="0" fontId="1" fillId="0" borderId="0" xfId="0" applyFont="1" applyBorder="1" applyAlignment="1">
      <alignment horizontal="center" wrapText="1"/>
    </xf>
    <xf numFmtId="0" fontId="1" fillId="0" borderId="0" xfId="0" applyFont="1" applyBorder="1" applyAlignment="1"/>
    <xf numFmtId="0" fontId="0" fillId="0" borderId="0" xfId="0" applyAlignment="1">
      <alignment horizontal="right"/>
    </xf>
    <xf numFmtId="0" fontId="1" fillId="0" borderId="5" xfId="0" applyFont="1" applyBorder="1"/>
    <xf numFmtId="0" fontId="1" fillId="0" borderId="5" xfId="0" applyFont="1" applyBorder="1" applyAlignment="1">
      <alignment horizontal="center"/>
    </xf>
    <xf numFmtId="3" fontId="0" fillId="0" borderId="0" xfId="0" applyNumberFormat="1" applyBorder="1" applyAlignment="1">
      <alignment horizontal="center"/>
    </xf>
    <xf numFmtId="3" fontId="0" fillId="0" borderId="5" xfId="0" applyNumberFormat="1" applyBorder="1" applyAlignment="1">
      <alignment horizontal="center"/>
    </xf>
    <xf numFmtId="3" fontId="0" fillId="0" borderId="0" xfId="0" applyNumberFormat="1" applyFill="1" applyBorder="1" applyAlignment="1">
      <alignment horizontal="center"/>
    </xf>
    <xf numFmtId="3" fontId="0" fillId="0" borderId="5" xfId="0" applyNumberFormat="1" applyFill="1" applyBorder="1" applyAlignment="1">
      <alignment horizontal="center"/>
    </xf>
    <xf numFmtId="3" fontId="0" fillId="0" borderId="0" xfId="0" applyNumberFormat="1" applyBorder="1" applyAlignment="1">
      <alignment horizontal="center" vertical="center" wrapText="1"/>
    </xf>
    <xf numFmtId="3" fontId="0" fillId="0" borderId="0" xfId="0" applyNumberFormat="1" applyFill="1" applyBorder="1" applyAlignment="1">
      <alignment horizontal="center" vertical="center" wrapText="1"/>
    </xf>
    <xf numFmtId="0" fontId="0" fillId="0" borderId="0" xfId="0" applyFill="1" applyBorder="1"/>
    <xf numFmtId="0" fontId="0" fillId="0" borderId="0" xfId="0" applyFill="1" applyBorder="1" applyAlignment="1">
      <alignment horizontal="center"/>
    </xf>
    <xf numFmtId="0" fontId="0" fillId="0" borderId="1" xfId="0" applyFill="1" applyBorder="1"/>
    <xf numFmtId="3" fontId="0" fillId="0" borderId="1" xfId="0" applyNumberFormat="1" applyFill="1" applyBorder="1" applyAlignment="1">
      <alignment horizontal="center"/>
    </xf>
    <xf numFmtId="3" fontId="0" fillId="0" borderId="2" xfId="0" applyNumberFormat="1" applyFill="1" applyBorder="1" applyAlignment="1">
      <alignment horizontal="center"/>
    </xf>
    <xf numFmtId="0" fontId="0" fillId="0" borderId="10" xfId="0" applyFill="1" applyBorder="1"/>
    <xf numFmtId="3" fontId="0" fillId="0" borderId="10" xfId="0" applyNumberFormat="1" applyFill="1" applyBorder="1" applyAlignment="1">
      <alignment horizontal="center"/>
    </xf>
    <xf numFmtId="3" fontId="0" fillId="0" borderId="11" xfId="0" applyNumberFormat="1" applyFill="1" applyBorder="1" applyAlignment="1">
      <alignment horizontal="center"/>
    </xf>
    <xf numFmtId="3" fontId="2" fillId="0" borderId="5" xfId="0" applyNumberFormat="1" applyFont="1" applyFill="1" applyBorder="1" applyAlignment="1">
      <alignment horizontal="center"/>
    </xf>
    <xf numFmtId="0" fontId="1" fillId="0" borderId="7" xfId="0" applyFont="1" applyBorder="1" applyAlignment="1">
      <alignment horizontal="center" wrapText="1"/>
    </xf>
    <xf numFmtId="0" fontId="1" fillId="0" borderId="5" xfId="0" applyFont="1" applyBorder="1" applyAlignment="1">
      <alignment horizontal="center" wrapText="1"/>
    </xf>
    <xf numFmtId="3" fontId="0" fillId="0" borderId="7" xfId="0" applyNumberFormat="1" applyBorder="1" applyAlignment="1">
      <alignment horizontal="center"/>
    </xf>
    <xf numFmtId="3" fontId="0" fillId="0" borderId="7" xfId="0" applyNumberFormat="1" applyFill="1" applyBorder="1" applyAlignment="1">
      <alignment horizontal="center"/>
    </xf>
    <xf numFmtId="3" fontId="0" fillId="0" borderId="7" xfId="0" applyNumberFormat="1" applyFill="1" applyBorder="1" applyAlignment="1">
      <alignment horizontal="center" vertical="center" wrapText="1"/>
    </xf>
    <xf numFmtId="3" fontId="0" fillId="0" borderId="4" xfId="0" applyNumberFormat="1" applyFill="1" applyBorder="1" applyAlignment="1">
      <alignment horizontal="center"/>
    </xf>
    <xf numFmtId="3" fontId="0" fillId="0" borderId="12" xfId="0" applyNumberFormat="1" applyFill="1" applyBorder="1" applyAlignment="1">
      <alignment horizontal="center"/>
    </xf>
    <xf numFmtId="0" fontId="0" fillId="0" borderId="11" xfId="0" applyBorder="1"/>
    <xf numFmtId="0" fontId="4" fillId="0" borderId="13" xfId="0" applyFont="1" applyBorder="1" applyAlignment="1">
      <alignment horizontal="center" vertical="top"/>
    </xf>
    <xf numFmtId="3" fontId="0" fillId="0" borderId="0" xfId="0" applyNumberFormat="1" applyFill="1"/>
    <xf numFmtId="3" fontId="0" fillId="0" borderId="0" xfId="0" applyNumberFormat="1"/>
    <xf numFmtId="3" fontId="2" fillId="0" borderId="0" xfId="0" applyNumberFormat="1" applyFont="1"/>
    <xf numFmtId="165" fontId="0" fillId="0" borderId="0" xfId="0" applyNumberFormat="1"/>
    <xf numFmtId="165" fontId="0" fillId="0" borderId="0" xfId="0" applyNumberFormat="1" applyFill="1"/>
    <xf numFmtId="0" fontId="5" fillId="0" borderId="13" xfId="0" applyFont="1" applyBorder="1" applyAlignment="1">
      <alignment horizontal="center" vertical="top"/>
    </xf>
    <xf numFmtId="0" fontId="5" fillId="0" borderId="13" xfId="0" applyFont="1" applyBorder="1" applyAlignment="1">
      <alignment horizontal="center" vertical="top" wrapText="1"/>
    </xf>
    <xf numFmtId="0" fontId="7" fillId="0" borderId="0" xfId="0" applyFont="1"/>
    <xf numFmtId="2" fontId="0" fillId="0" borderId="0" xfId="0" applyNumberFormat="1"/>
    <xf numFmtId="165" fontId="0" fillId="0" borderId="0" xfId="0" applyNumberFormat="1" applyFont="1"/>
    <xf numFmtId="165" fontId="0" fillId="0" borderId="0" xfId="0" applyNumberFormat="1" applyFont="1" applyFill="1"/>
    <xf numFmtId="2" fontId="0" fillId="0" borderId="0" xfId="0" applyNumberFormat="1" applyFill="1"/>
    <xf numFmtId="0" fontId="1" fillId="0" borderId="1" xfId="0" applyFont="1" applyBorder="1" applyAlignment="1">
      <alignment horizontal="center"/>
    </xf>
    <xf numFmtId="0" fontId="1" fillId="0" borderId="0" xfId="0" applyFont="1" applyFill="1" applyBorder="1" applyAlignment="1">
      <alignment horizontal="center"/>
    </xf>
    <xf numFmtId="0" fontId="1" fillId="0" borderId="5" xfId="0" applyFont="1" applyFill="1" applyBorder="1" applyAlignment="1">
      <alignment horizontal="center"/>
    </xf>
    <xf numFmtId="0" fontId="1" fillId="0" borderId="7" xfId="0" applyFont="1" applyFill="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165" fontId="0" fillId="0" borderId="0" xfId="0" applyNumberFormat="1" applyAlignment="1">
      <alignment horizontal="left"/>
    </xf>
    <xf numFmtId="165" fontId="0" fillId="0" borderId="0" xfId="0" applyNumberFormat="1"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001%2026%20Preise%20und%20Preisentwicklungen%20inkl.%20Supplementary%20material%20for%20pap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2%2009%2023%20SoBio_ben&#246;tigte%20Biomassen_2030_Final_Differenzierung%20Import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Übersicht"/>
      <sheetName val="Annex for Paper"/>
      <sheetName val="Tabelle1"/>
      <sheetName val="CO2-Hilfsstoffpreis"/>
      <sheetName val="H2 Preise-Kosten"/>
      <sheetName val="Agrarpreise"/>
      <sheetName val="Strom"/>
      <sheetName val="Strom hoher preis"/>
      <sheetName val="Strom Co2 preis"/>
      <sheetName val="Wärme"/>
    </sheetNames>
    <sheetDataSet>
      <sheetData sheetId="0" refreshError="1"/>
      <sheetData sheetId="1"/>
      <sheetData sheetId="2" refreshError="1"/>
      <sheetData sheetId="3" refreshError="1"/>
      <sheetData sheetId="4">
        <row r="50">
          <cell r="D50">
            <v>1333.3333333333333</v>
          </cell>
        </row>
      </sheetData>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tstoffe_Gesamt_Import"/>
      <sheetName val="Tabelle Veröff"/>
      <sheetName val="Holzimporte vs Anbaufläche"/>
      <sheetName val="Reststoffe_Szenarien_long"/>
      <sheetName val="Reststoffe_Master"/>
      <sheetName val="Anbaubiomasse_Erträge"/>
      <sheetName val="Palmöl, roh Außenhandel"/>
      <sheetName val="global palm oil production"/>
      <sheetName val="Tallöl, Außenhandel, Produktion"/>
      <sheetName val="Zellstoffindustrie"/>
      <sheetName val="Bevölkerung"/>
      <sheetName val="Rohholzpotenzial"/>
      <sheetName val="Altpapier"/>
      <sheetName val="Altholz"/>
      <sheetName val="Einschlag und Entnahme"/>
      <sheetName val="Rohholzverwendung"/>
      <sheetName val="Anleitung"/>
      <sheetName val="Zeitliche Entwicklung"/>
      <sheetName val="GVE"/>
      <sheetName val="Tiere,Fleisch-zeitl Entwicklung"/>
    </sheetNames>
    <sheetDataSet>
      <sheetData sheetId="0">
        <row r="31">
          <cell r="G31">
            <v>1897000</v>
          </cell>
          <cell r="I3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1EDB7-4299-4C72-B334-3D6CE270BDDE}">
  <dimension ref="A1:O113"/>
  <sheetViews>
    <sheetView tabSelected="1" zoomScale="80" zoomScaleNormal="80" workbookViewId="0">
      <pane xSplit="8" ySplit="2" topLeftCell="I3" activePane="bottomRight" state="frozen"/>
      <selection pane="topRight" activeCell="I1" sqref="I1"/>
      <selection pane="bottomLeft" activeCell="A5" sqref="A5"/>
      <selection pane="bottomRight" activeCell="O77" sqref="O77"/>
    </sheetView>
  </sheetViews>
  <sheetFormatPr baseColWidth="10" defaultColWidth="11.42578125" defaultRowHeight="15" x14ac:dyDescent="0.25"/>
  <cols>
    <col min="1" max="1" width="6.42578125" style="3" bestFit="1" customWidth="1"/>
    <col min="2" max="2" width="61" style="3" bestFit="1" customWidth="1"/>
    <col min="3" max="3" width="11" style="3" bestFit="1" customWidth="1"/>
    <col min="4" max="4" width="6.85546875" style="3" bestFit="1" customWidth="1"/>
    <col min="5" max="5" width="9" style="3" bestFit="1" customWidth="1"/>
    <col min="6" max="6" width="10" style="3" bestFit="1" customWidth="1"/>
    <col min="7" max="7" width="57.28515625" style="3" bestFit="1" customWidth="1"/>
    <col min="8" max="8" width="11" style="3" bestFit="1" customWidth="1"/>
    <col min="9" max="9" width="10" style="3" bestFit="1" customWidth="1"/>
    <col min="10" max="13" width="8.140625" style="3" bestFit="1" customWidth="1"/>
    <col min="14" max="16384" width="11.42578125" style="3"/>
  </cols>
  <sheetData>
    <row r="1" spans="1:13" x14ac:dyDescent="0.25">
      <c r="A1" s="1"/>
      <c r="B1" s="1"/>
      <c r="C1" s="1"/>
      <c r="D1" s="1"/>
      <c r="E1" s="2"/>
      <c r="F1" s="2"/>
      <c r="G1" s="2"/>
      <c r="H1" s="2"/>
      <c r="I1" s="86">
        <v>2030</v>
      </c>
      <c r="J1" s="86"/>
      <c r="K1" s="86"/>
      <c r="L1" s="86"/>
      <c r="M1" s="86"/>
    </row>
    <row r="2" spans="1:13" x14ac:dyDescent="0.25">
      <c r="A2" s="4" t="s">
        <v>0</v>
      </c>
      <c r="B2" s="5" t="s">
        <v>1</v>
      </c>
      <c r="C2" s="6" t="s">
        <v>2</v>
      </c>
      <c r="D2" s="6" t="s">
        <v>3</v>
      </c>
      <c r="E2" s="6" t="s">
        <v>4</v>
      </c>
      <c r="F2" s="6" t="s">
        <v>5</v>
      </c>
      <c r="G2" s="7" t="s">
        <v>6</v>
      </c>
      <c r="H2" s="7" t="s">
        <v>7</v>
      </c>
      <c r="I2" s="8" t="s">
        <v>168</v>
      </c>
      <c r="J2" s="8" t="s">
        <v>170</v>
      </c>
      <c r="K2" s="8" t="s">
        <v>171</v>
      </c>
      <c r="L2" s="8" t="s">
        <v>169</v>
      </c>
      <c r="M2" s="8" t="s">
        <v>172</v>
      </c>
    </row>
    <row r="3" spans="1:13" x14ac:dyDescent="0.25">
      <c r="A3" s="9">
        <v>15</v>
      </c>
      <c r="B3" s="10" t="s">
        <v>8</v>
      </c>
      <c r="C3" s="11">
        <v>480</v>
      </c>
      <c r="D3" s="11">
        <v>2000</v>
      </c>
      <c r="E3" s="11">
        <v>100000</v>
      </c>
      <c r="F3" s="10"/>
      <c r="G3" s="12"/>
      <c r="H3" s="12" t="s">
        <v>9</v>
      </c>
      <c r="I3" s="11">
        <v>2000</v>
      </c>
      <c r="J3" s="11">
        <v>2000</v>
      </c>
      <c r="K3" s="11">
        <v>2000</v>
      </c>
      <c r="L3" s="11">
        <v>2000</v>
      </c>
      <c r="M3" s="11">
        <v>2000</v>
      </c>
    </row>
    <row r="4" spans="1:13" x14ac:dyDescent="0.25">
      <c r="A4" s="9">
        <v>32</v>
      </c>
      <c r="B4" s="10" t="s">
        <v>10</v>
      </c>
      <c r="C4" s="11">
        <v>71</v>
      </c>
      <c r="D4" s="11">
        <f>AVERAGE(C4,E4)</f>
        <v>85</v>
      </c>
      <c r="E4" s="11">
        <v>99</v>
      </c>
      <c r="F4" s="10"/>
      <c r="G4" s="12">
        <v>2017</v>
      </c>
      <c r="H4" s="12" t="s">
        <v>11</v>
      </c>
      <c r="I4" s="11">
        <v>84</v>
      </c>
      <c r="J4" s="11">
        <v>84</v>
      </c>
      <c r="K4" s="11">
        <v>84</v>
      </c>
      <c r="L4" s="11">
        <v>84</v>
      </c>
      <c r="M4" s="11">
        <v>84</v>
      </c>
    </row>
    <row r="5" spans="1:13" x14ac:dyDescent="0.25">
      <c r="A5" s="9">
        <v>1</v>
      </c>
      <c r="B5" s="10" t="s">
        <v>12</v>
      </c>
      <c r="C5" s="13">
        <v>52</v>
      </c>
      <c r="D5" s="11">
        <f>(C5+E5)/2</f>
        <v>107.5</v>
      </c>
      <c r="E5" s="13">
        <v>163</v>
      </c>
      <c r="F5" s="14"/>
      <c r="G5" s="15">
        <v>2018</v>
      </c>
      <c r="H5" s="15" t="s">
        <v>13</v>
      </c>
      <c r="I5" s="11">
        <v>108</v>
      </c>
      <c r="J5" s="11">
        <v>108</v>
      </c>
      <c r="K5" s="11">
        <v>108</v>
      </c>
      <c r="L5" s="11">
        <v>108</v>
      </c>
      <c r="M5" s="11">
        <v>108</v>
      </c>
    </row>
    <row r="6" spans="1:13" x14ac:dyDescent="0.25">
      <c r="A6" s="9">
        <v>2</v>
      </c>
      <c r="B6" s="10" t="s">
        <v>14</v>
      </c>
      <c r="C6" s="11">
        <v>152</v>
      </c>
      <c r="D6" s="11">
        <f>(C6+E6)/2</f>
        <v>267.5</v>
      </c>
      <c r="E6" s="11">
        <v>383</v>
      </c>
      <c r="F6" s="16"/>
      <c r="G6" s="12">
        <v>2015</v>
      </c>
      <c r="H6" s="12" t="s">
        <v>13</v>
      </c>
      <c r="I6" s="11">
        <v>268</v>
      </c>
      <c r="J6" s="11">
        <v>268</v>
      </c>
      <c r="K6" s="11">
        <v>268</v>
      </c>
      <c r="L6" s="11">
        <v>268</v>
      </c>
      <c r="M6" s="11">
        <v>268</v>
      </c>
    </row>
    <row r="7" spans="1:13" x14ac:dyDescent="0.25">
      <c r="A7" s="9">
        <v>3</v>
      </c>
      <c r="B7" s="10" t="s">
        <v>15</v>
      </c>
      <c r="C7" s="11">
        <f>(C8*F8+C9*F9+C10*F10+C11*F11)/SUM(F8:F11)</f>
        <v>-28.86178861788618</v>
      </c>
      <c r="D7" s="11">
        <f>(C7+E7)/2</f>
        <v>-10.333333333333334</v>
      </c>
      <c r="E7" s="11">
        <f>(E8*F8+E9*F9+E10*F10+E11*F11)/SUM(F8:F11)</f>
        <v>8.1951219512195124</v>
      </c>
      <c r="F7" s="17"/>
      <c r="G7" s="12" t="s">
        <v>16</v>
      </c>
      <c r="H7" s="12" t="s">
        <v>13</v>
      </c>
      <c r="I7" s="11">
        <v>-10</v>
      </c>
      <c r="J7" s="11">
        <v>-10</v>
      </c>
      <c r="K7" s="11">
        <v>-10</v>
      </c>
      <c r="L7" s="11">
        <v>-10</v>
      </c>
      <c r="M7" s="11">
        <v>-10</v>
      </c>
    </row>
    <row r="8" spans="1:13" x14ac:dyDescent="0.25">
      <c r="A8" s="9"/>
      <c r="B8" s="10" t="s">
        <v>17</v>
      </c>
      <c r="C8" s="11">
        <v>-224</v>
      </c>
      <c r="D8" s="11"/>
      <c r="E8" s="11">
        <v>0</v>
      </c>
      <c r="F8" s="16">
        <v>10</v>
      </c>
      <c r="G8" s="12">
        <v>2015</v>
      </c>
      <c r="H8" s="12" t="s">
        <v>13</v>
      </c>
      <c r="I8" s="11"/>
      <c r="J8" s="11"/>
      <c r="K8" s="11"/>
      <c r="L8" s="11"/>
      <c r="M8" s="11"/>
    </row>
    <row r="9" spans="1:13" x14ac:dyDescent="0.25">
      <c r="A9" s="9"/>
      <c r="B9" s="10" t="s">
        <v>18</v>
      </c>
      <c r="C9" s="11">
        <v>35</v>
      </c>
      <c r="D9" s="11"/>
      <c r="E9" s="11">
        <v>72</v>
      </c>
      <c r="F9" s="16">
        <v>14</v>
      </c>
      <c r="G9" s="12">
        <v>2010</v>
      </c>
      <c r="H9" s="12" t="s">
        <v>13</v>
      </c>
      <c r="I9" s="11"/>
      <c r="J9" s="11"/>
      <c r="K9" s="11"/>
      <c r="L9" s="11"/>
      <c r="M9" s="11"/>
    </row>
    <row r="10" spans="1:13" x14ac:dyDescent="0.25">
      <c r="A10" s="9"/>
      <c r="B10" s="10" t="s">
        <v>19</v>
      </c>
      <c r="C10" s="11">
        <v>-20</v>
      </c>
      <c r="D10" s="11"/>
      <c r="E10" s="11">
        <v>0</v>
      </c>
      <c r="F10" s="16">
        <v>90</v>
      </c>
      <c r="G10" s="12"/>
      <c r="H10" s="12" t="s">
        <v>13</v>
      </c>
      <c r="I10" s="11"/>
      <c r="J10" s="11"/>
      <c r="K10" s="11"/>
      <c r="L10" s="11"/>
      <c r="M10" s="11"/>
    </row>
    <row r="11" spans="1:13" x14ac:dyDescent="0.25">
      <c r="A11" s="9"/>
      <c r="B11" s="10" t="s">
        <v>20</v>
      </c>
      <c r="C11" s="11">
        <v>0</v>
      </c>
      <c r="D11" s="11"/>
      <c r="E11" s="11">
        <v>0</v>
      </c>
      <c r="F11" s="16">
        <v>9</v>
      </c>
      <c r="G11" s="12" t="s">
        <v>21</v>
      </c>
      <c r="H11" s="12"/>
      <c r="I11" s="11"/>
      <c r="J11" s="11"/>
      <c r="K11" s="11"/>
      <c r="L11" s="11"/>
      <c r="M11" s="11"/>
    </row>
    <row r="12" spans="1:13" x14ac:dyDescent="0.25">
      <c r="A12" s="9">
        <v>4</v>
      </c>
      <c r="B12" s="10" t="s">
        <v>22</v>
      </c>
      <c r="C12" s="11"/>
      <c r="D12" s="11">
        <v>34.5</v>
      </c>
      <c r="E12" s="11"/>
      <c r="F12" s="10"/>
      <c r="G12" s="12"/>
      <c r="H12" s="12" t="s">
        <v>23</v>
      </c>
      <c r="I12" s="11">
        <v>34.5</v>
      </c>
      <c r="J12" s="11">
        <v>34.5</v>
      </c>
      <c r="K12" s="11">
        <v>34.5</v>
      </c>
      <c r="L12" s="11">
        <v>34.5</v>
      </c>
      <c r="M12" s="11">
        <v>34.5</v>
      </c>
    </row>
    <row r="13" spans="1:13" x14ac:dyDescent="0.25">
      <c r="A13" s="9">
        <v>5</v>
      </c>
      <c r="B13" s="10" t="s">
        <v>24</v>
      </c>
      <c r="C13" s="11">
        <v>400</v>
      </c>
      <c r="D13" s="11">
        <v>500</v>
      </c>
      <c r="E13" s="11">
        <v>600</v>
      </c>
      <c r="F13" s="10"/>
      <c r="G13" s="12">
        <v>2013</v>
      </c>
      <c r="H13" s="12" t="s">
        <v>25</v>
      </c>
      <c r="I13" s="11">
        <v>500</v>
      </c>
      <c r="J13" s="11">
        <v>500</v>
      </c>
      <c r="K13" s="11">
        <v>500</v>
      </c>
      <c r="L13" s="11">
        <v>500</v>
      </c>
      <c r="M13" s="11">
        <v>500</v>
      </c>
    </row>
    <row r="14" spans="1:13" x14ac:dyDescent="0.25">
      <c r="A14" s="9">
        <v>6</v>
      </c>
      <c r="B14" s="10" t="s">
        <v>26</v>
      </c>
      <c r="C14" s="11">
        <v>610</v>
      </c>
      <c r="D14" s="11">
        <v>700</v>
      </c>
      <c r="E14" s="11">
        <v>780</v>
      </c>
      <c r="F14" s="10"/>
      <c r="G14" s="12">
        <v>2019</v>
      </c>
      <c r="H14" s="12" t="s">
        <v>27</v>
      </c>
      <c r="I14" s="11">
        <v>700</v>
      </c>
      <c r="J14" s="11">
        <v>700</v>
      </c>
      <c r="K14" s="11">
        <v>700</v>
      </c>
      <c r="L14" s="11">
        <v>700</v>
      </c>
      <c r="M14" s="11">
        <v>700</v>
      </c>
    </row>
    <row r="15" spans="1:13" x14ac:dyDescent="0.25">
      <c r="A15" s="9">
        <v>7</v>
      </c>
      <c r="B15" s="10" t="s">
        <v>28</v>
      </c>
      <c r="C15" s="11">
        <v>390</v>
      </c>
      <c r="D15" s="11">
        <v>450</v>
      </c>
      <c r="E15" s="11">
        <v>530</v>
      </c>
      <c r="F15" s="10"/>
      <c r="G15" s="12">
        <v>2019</v>
      </c>
      <c r="H15" s="12" t="s">
        <v>27</v>
      </c>
      <c r="I15" s="11">
        <v>450</v>
      </c>
      <c r="J15" s="11">
        <v>450</v>
      </c>
      <c r="K15" s="11">
        <v>450</v>
      </c>
      <c r="L15" s="11">
        <v>450</v>
      </c>
      <c r="M15" s="11">
        <v>450</v>
      </c>
    </row>
    <row r="16" spans="1:13" x14ac:dyDescent="0.25">
      <c r="A16" s="9">
        <v>8</v>
      </c>
      <c r="B16" s="10" t="s">
        <v>29</v>
      </c>
      <c r="C16" s="11"/>
      <c r="D16" s="11">
        <v>0</v>
      </c>
      <c r="E16" s="11"/>
      <c r="F16" s="10"/>
      <c r="G16" s="12" t="s">
        <v>21</v>
      </c>
      <c r="H16" s="12"/>
      <c r="I16" s="11">
        <v>0</v>
      </c>
      <c r="J16" s="11">
        <v>0</v>
      </c>
      <c r="K16" s="11">
        <v>0</v>
      </c>
      <c r="L16" s="11">
        <v>0</v>
      </c>
      <c r="M16" s="11">
        <v>0</v>
      </c>
    </row>
    <row r="17" spans="1:15" x14ac:dyDescent="0.25">
      <c r="A17" s="9">
        <v>50</v>
      </c>
      <c r="B17" s="18" t="s">
        <v>30</v>
      </c>
      <c r="C17" s="11">
        <f>MIN(570,606,598,577,572,559,514,438,343,373,358,399,448,540,559,598,577,566,542,561,593,613,636,674,694,698,678,633,613,606,604,612,635,629,626,597,616,609,594,569,497,485,481,478,470,445,356,320,377,439,461,455,406,380,341,401,437,423,495,570,674,662,573,547,494,516,521,605,662,691,751,808)*0.88</f>
        <v>281.60000000000002</v>
      </c>
      <c r="D17" s="11">
        <f>AVERAGE(570,606,598,577,572,559,514,438,343,373,358,399,448,540,559,598,577,566,542,561,593,613,636,674,694,698,678,633,613,606,604,612,635,629,626,597,616,609,594,569,497,485,481,478,470,445,356,320,377,439,461,455,406,380,341,401,437,423,495,570,674,662,573,547,494,516,521,605,662,691,751,808)*0.88</f>
        <v>477.25333333333339</v>
      </c>
      <c r="E17" s="11">
        <f>MAX(570,606,598,577,572,559,514,438,343,373,358,399,448,540,559,598,577,566,542,561,593,613,636,674,694,698,678,633,613,606,604,612,635,629,626,597,616,609,594,569,497,485,481,478,470,445,356,320,377,439,461,455,406,380,341,401,437,423,495,570,674,662,573,547,494,516,521,605,662,691,751,808)*0.88</f>
        <v>711.04</v>
      </c>
      <c r="F17" s="10"/>
      <c r="G17" s="12" t="s">
        <v>31</v>
      </c>
      <c r="H17" s="12" t="s">
        <v>32</v>
      </c>
      <c r="I17" s="11">
        <v>480</v>
      </c>
      <c r="J17" s="11">
        <v>480</v>
      </c>
      <c r="K17" s="11">
        <v>480</v>
      </c>
      <c r="L17" s="11">
        <v>480</v>
      </c>
      <c r="M17" s="11">
        <v>480</v>
      </c>
      <c r="N17" s="19"/>
      <c r="O17" s="19"/>
    </row>
    <row r="18" spans="1:15" x14ac:dyDescent="0.25">
      <c r="A18" s="9">
        <v>9</v>
      </c>
      <c r="B18" s="10" t="s">
        <v>33</v>
      </c>
      <c r="C18" s="11"/>
      <c r="D18" s="11">
        <v>0</v>
      </c>
      <c r="E18" s="11"/>
      <c r="F18" s="10"/>
      <c r="G18" s="12"/>
      <c r="H18" s="12" t="s">
        <v>34</v>
      </c>
      <c r="I18" s="11">
        <v>0</v>
      </c>
      <c r="J18" s="11">
        <v>0</v>
      </c>
      <c r="K18" s="11">
        <v>0</v>
      </c>
      <c r="L18" s="11">
        <v>0</v>
      </c>
      <c r="M18" s="11">
        <v>0</v>
      </c>
      <c r="N18" s="19"/>
      <c r="O18" s="19"/>
    </row>
    <row r="19" spans="1:15" x14ac:dyDescent="0.25">
      <c r="A19" s="9">
        <v>35</v>
      </c>
      <c r="B19" s="10" t="s">
        <v>35</v>
      </c>
      <c r="C19" s="11">
        <v>580</v>
      </c>
      <c r="D19" s="11">
        <v>650</v>
      </c>
      <c r="E19" s="11">
        <v>759</v>
      </c>
      <c r="F19" s="10"/>
      <c r="G19" s="12"/>
      <c r="H19" s="12" t="s">
        <v>36</v>
      </c>
      <c r="I19" s="11">
        <v>650</v>
      </c>
      <c r="J19" s="11">
        <v>650</v>
      </c>
      <c r="K19" s="11">
        <v>650</v>
      </c>
      <c r="L19" s="11">
        <v>650</v>
      </c>
      <c r="M19" s="11">
        <v>650</v>
      </c>
      <c r="N19" s="19"/>
      <c r="O19" s="19"/>
    </row>
    <row r="20" spans="1:15" x14ac:dyDescent="0.25">
      <c r="A20" s="9">
        <v>36</v>
      </c>
      <c r="B20" s="10" t="s">
        <v>37</v>
      </c>
      <c r="C20" s="11">
        <v>625</v>
      </c>
      <c r="D20" s="11">
        <v>750</v>
      </c>
      <c r="E20" s="11">
        <v>969</v>
      </c>
      <c r="F20" s="10"/>
      <c r="G20" s="12"/>
      <c r="H20" s="12" t="s">
        <v>36</v>
      </c>
      <c r="I20" s="11">
        <v>750</v>
      </c>
      <c r="J20" s="11">
        <v>750</v>
      </c>
      <c r="K20" s="11">
        <v>750</v>
      </c>
      <c r="L20" s="11">
        <v>750</v>
      </c>
      <c r="M20" s="11">
        <v>750</v>
      </c>
      <c r="N20" s="19"/>
      <c r="O20" s="19"/>
    </row>
    <row r="21" spans="1:15" x14ac:dyDescent="0.25">
      <c r="A21" s="9">
        <v>37</v>
      </c>
      <c r="B21" s="10" t="s">
        <v>38</v>
      </c>
      <c r="C21" s="11">
        <f>20.48*0.75</f>
        <v>15.36</v>
      </c>
      <c r="D21" s="11">
        <f>AVERAGE(C21,E21)</f>
        <v>22.657499999999999</v>
      </c>
      <c r="E21" s="11">
        <f>39.94*0.75</f>
        <v>29.954999999999998</v>
      </c>
      <c r="F21" s="10"/>
      <c r="G21" s="12"/>
      <c r="H21" s="12" t="s">
        <v>39</v>
      </c>
      <c r="I21" s="11">
        <v>23</v>
      </c>
      <c r="J21" s="11">
        <v>23</v>
      </c>
      <c r="K21" s="11">
        <v>23</v>
      </c>
      <c r="L21" s="11">
        <v>23</v>
      </c>
      <c r="M21" s="11">
        <v>23</v>
      </c>
      <c r="N21" s="19"/>
      <c r="O21" s="19"/>
    </row>
    <row r="22" spans="1:15" x14ac:dyDescent="0.25">
      <c r="A22" s="9">
        <v>10</v>
      </c>
      <c r="B22" s="18" t="s">
        <v>40</v>
      </c>
      <c r="C22" s="11">
        <v>107.85600000000001</v>
      </c>
      <c r="D22" s="11">
        <v>126.43200000000002</v>
      </c>
      <c r="E22" s="11">
        <v>145.00800000000001</v>
      </c>
      <c r="F22" s="10"/>
      <c r="G22" s="12">
        <v>2015</v>
      </c>
      <c r="H22" s="12" t="s">
        <v>41</v>
      </c>
      <c r="I22" s="11">
        <v>126</v>
      </c>
      <c r="J22" s="11">
        <v>126</v>
      </c>
      <c r="K22" s="11">
        <v>126</v>
      </c>
      <c r="L22" s="11">
        <v>126</v>
      </c>
      <c r="M22" s="11">
        <v>126</v>
      </c>
      <c r="N22" s="20"/>
      <c r="O22" s="20"/>
    </row>
    <row r="23" spans="1:15" x14ac:dyDescent="0.25">
      <c r="A23" s="9">
        <v>13</v>
      </c>
      <c r="B23" s="18" t="s">
        <v>42</v>
      </c>
      <c r="C23" s="11"/>
      <c r="D23" s="11">
        <v>20</v>
      </c>
      <c r="E23" s="11"/>
      <c r="F23" s="10"/>
      <c r="G23" s="12" t="s">
        <v>43</v>
      </c>
      <c r="H23" s="12" t="s">
        <v>44</v>
      </c>
      <c r="I23" s="11">
        <v>20</v>
      </c>
      <c r="J23" s="11">
        <v>20</v>
      </c>
      <c r="K23" s="11">
        <v>20</v>
      </c>
      <c r="L23" s="11">
        <v>20</v>
      </c>
      <c r="M23" s="11">
        <v>20</v>
      </c>
      <c r="N23" s="20"/>
      <c r="O23" s="20"/>
    </row>
    <row r="24" spans="1:15" x14ac:dyDescent="0.25">
      <c r="A24" s="9">
        <v>11</v>
      </c>
      <c r="B24" s="10" t="s">
        <v>45</v>
      </c>
      <c r="C24" s="11">
        <v>256.10000000000002</v>
      </c>
      <c r="D24" s="11">
        <v>268.97499999999997</v>
      </c>
      <c r="E24" s="11">
        <v>281.84999999999997</v>
      </c>
      <c r="F24" s="10"/>
      <c r="G24" s="12">
        <v>2015</v>
      </c>
      <c r="H24" s="12" t="s">
        <v>46</v>
      </c>
      <c r="I24" s="11">
        <v>269</v>
      </c>
      <c r="J24" s="11">
        <v>269</v>
      </c>
      <c r="K24" s="11">
        <v>269</v>
      </c>
      <c r="L24" s="11">
        <v>269</v>
      </c>
      <c r="M24" s="11">
        <v>269</v>
      </c>
    </row>
    <row r="25" spans="1:15" x14ac:dyDescent="0.25">
      <c r="A25" s="9">
        <v>12</v>
      </c>
      <c r="B25" s="18" t="s">
        <v>47</v>
      </c>
      <c r="C25" s="11">
        <v>229.69999999999996</v>
      </c>
      <c r="D25" s="11">
        <v>246.07499999999999</v>
      </c>
      <c r="E25" s="11">
        <v>262.45</v>
      </c>
      <c r="F25" s="10"/>
      <c r="G25" s="12">
        <v>2015</v>
      </c>
      <c r="H25" s="12" t="s">
        <v>48</v>
      </c>
      <c r="I25" s="11">
        <v>246</v>
      </c>
      <c r="J25" s="11">
        <v>246</v>
      </c>
      <c r="K25" s="11">
        <v>246</v>
      </c>
      <c r="L25" s="11">
        <v>246</v>
      </c>
      <c r="M25" s="11">
        <v>246</v>
      </c>
    </row>
    <row r="26" spans="1:15" x14ac:dyDescent="0.25">
      <c r="A26" s="9">
        <v>14</v>
      </c>
      <c r="B26" s="18" t="s">
        <v>49</v>
      </c>
      <c r="C26" s="11"/>
      <c r="D26" s="11">
        <v>145</v>
      </c>
      <c r="E26" s="11"/>
      <c r="F26" s="10"/>
      <c r="G26" s="12" t="s">
        <v>43</v>
      </c>
      <c r="H26" s="12" t="s">
        <v>44</v>
      </c>
      <c r="I26" s="11">
        <v>145</v>
      </c>
      <c r="J26" s="11">
        <v>145</v>
      </c>
      <c r="K26" s="11">
        <v>145</v>
      </c>
      <c r="L26" s="11">
        <v>145</v>
      </c>
      <c r="M26" s="11">
        <v>145</v>
      </c>
    </row>
    <row r="27" spans="1:15" x14ac:dyDescent="0.25">
      <c r="A27" s="21"/>
      <c r="B27" s="5" t="s">
        <v>50</v>
      </c>
      <c r="C27" s="22"/>
      <c r="D27" s="22"/>
      <c r="E27" s="22"/>
      <c r="F27" s="7"/>
      <c r="G27" s="23"/>
      <c r="H27" s="23"/>
      <c r="I27" s="22"/>
      <c r="J27" s="22"/>
      <c r="K27" s="22"/>
      <c r="L27" s="22"/>
      <c r="M27" s="22"/>
      <c r="N27" s="24"/>
      <c r="O27" s="24"/>
    </row>
    <row r="28" spans="1:15" x14ac:dyDescent="0.25">
      <c r="A28" s="9"/>
      <c r="B28" s="10" t="s">
        <v>51</v>
      </c>
      <c r="C28" s="11" t="s">
        <v>52</v>
      </c>
      <c r="D28" s="11"/>
      <c r="E28" s="11"/>
      <c r="F28" s="10"/>
      <c r="G28" s="12"/>
      <c r="H28" s="12"/>
      <c r="I28" s="11"/>
      <c r="J28" s="11"/>
      <c r="K28" s="11"/>
      <c r="L28" s="11"/>
      <c r="M28" s="11"/>
    </row>
    <row r="29" spans="1:15" x14ac:dyDescent="0.25">
      <c r="A29" s="9"/>
      <c r="B29" s="10" t="s">
        <v>53</v>
      </c>
      <c r="C29" s="11" t="s">
        <v>52</v>
      </c>
      <c r="D29" s="11"/>
      <c r="E29" s="11"/>
      <c r="F29" s="10"/>
      <c r="G29" s="12"/>
      <c r="H29" s="12"/>
      <c r="I29" s="11"/>
      <c r="J29" s="11"/>
      <c r="K29" s="11"/>
      <c r="L29" s="11"/>
      <c r="M29" s="11"/>
      <c r="N29" s="24"/>
      <c r="O29" s="24"/>
    </row>
    <row r="30" spans="1:15" x14ac:dyDescent="0.25">
      <c r="A30" s="9">
        <v>38</v>
      </c>
      <c r="B30" s="10" t="s">
        <v>54</v>
      </c>
      <c r="C30" s="11">
        <v>2.62</v>
      </c>
      <c r="D30" s="11">
        <f>(C30+E30)/2</f>
        <v>3.415</v>
      </c>
      <c r="E30" s="11">
        <v>4.21</v>
      </c>
      <c r="F30" s="10"/>
      <c r="G30" s="12">
        <v>2019</v>
      </c>
      <c r="H30" s="12" t="s">
        <v>55</v>
      </c>
      <c r="I30" s="11">
        <v>3.42</v>
      </c>
      <c r="J30" s="11">
        <v>3.42</v>
      </c>
      <c r="K30" s="11">
        <v>3.42</v>
      </c>
      <c r="L30" s="11">
        <v>3.42</v>
      </c>
      <c r="M30" s="11">
        <v>3.42</v>
      </c>
      <c r="N30" s="24"/>
      <c r="O30" s="24"/>
    </row>
    <row r="31" spans="1:15" x14ac:dyDescent="0.25">
      <c r="A31" s="9"/>
      <c r="B31" s="10" t="s">
        <v>56</v>
      </c>
      <c r="C31" s="11">
        <f>D30/2.48*3.56</f>
        <v>4.9021774193548389</v>
      </c>
      <c r="D31" s="11">
        <f>D30/2.48*5.83</f>
        <v>8.0280040322580639</v>
      </c>
      <c r="E31" s="11">
        <f>D30/2.48*9.32</f>
        <v>12.833790322580645</v>
      </c>
      <c r="F31" s="25"/>
      <c r="G31" s="26">
        <v>44743</v>
      </c>
      <c r="H31" s="26" t="s">
        <v>57</v>
      </c>
      <c r="I31" s="11"/>
      <c r="J31" s="11"/>
      <c r="K31" s="11"/>
      <c r="L31" s="11">
        <f>G30*2</f>
        <v>4038</v>
      </c>
      <c r="M31" s="11"/>
      <c r="N31" s="24"/>
      <c r="O31" s="24"/>
    </row>
    <row r="32" spans="1:15" x14ac:dyDescent="0.25">
      <c r="A32" s="9">
        <v>39</v>
      </c>
      <c r="B32" s="10" t="s">
        <v>58</v>
      </c>
      <c r="C32" s="11"/>
      <c r="D32" s="11">
        <v>1</v>
      </c>
      <c r="E32" s="11"/>
      <c r="F32" s="10"/>
      <c r="G32" s="12" t="s">
        <v>59</v>
      </c>
      <c r="H32" s="12" t="s">
        <v>60</v>
      </c>
      <c r="I32" s="11">
        <v>1</v>
      </c>
      <c r="J32" s="11">
        <v>1</v>
      </c>
      <c r="K32" s="11">
        <v>1</v>
      </c>
      <c r="L32" s="11">
        <v>1</v>
      </c>
      <c r="M32" s="11">
        <v>1</v>
      </c>
      <c r="N32" s="20"/>
      <c r="O32" s="20"/>
    </row>
    <row r="33" spans="1:15" x14ac:dyDescent="0.25">
      <c r="A33" s="9">
        <v>40</v>
      </c>
      <c r="B33" s="10" t="s">
        <v>61</v>
      </c>
      <c r="C33" s="11"/>
      <c r="D33" s="11">
        <v>0.2</v>
      </c>
      <c r="E33" s="11"/>
      <c r="F33" s="10"/>
      <c r="G33" s="12" t="s">
        <v>62</v>
      </c>
      <c r="H33" s="12" t="s">
        <v>60</v>
      </c>
      <c r="I33" s="11">
        <v>0.2</v>
      </c>
      <c r="J33" s="11">
        <v>0.2</v>
      </c>
      <c r="K33" s="11">
        <v>0.2</v>
      </c>
      <c r="L33" s="11">
        <v>0.2</v>
      </c>
      <c r="M33" s="11">
        <v>0.2</v>
      </c>
      <c r="N33" s="20"/>
      <c r="O33" s="20"/>
    </row>
    <row r="34" spans="1:15" x14ac:dyDescent="0.25">
      <c r="A34" s="9">
        <v>41</v>
      </c>
      <c r="B34" s="10" t="s">
        <v>63</v>
      </c>
      <c r="C34" s="11"/>
      <c r="D34" s="11">
        <v>1</v>
      </c>
      <c r="E34" s="11"/>
      <c r="F34" s="10"/>
      <c r="G34" s="12" t="s">
        <v>64</v>
      </c>
      <c r="H34" s="12"/>
      <c r="I34" s="11">
        <v>1</v>
      </c>
      <c r="J34" s="11">
        <v>1</v>
      </c>
      <c r="K34" s="11">
        <v>1</v>
      </c>
      <c r="L34" s="11">
        <v>1</v>
      </c>
      <c r="M34" s="11">
        <v>1</v>
      </c>
    </row>
    <row r="35" spans="1:15" x14ac:dyDescent="0.25">
      <c r="A35" s="9">
        <v>42</v>
      </c>
      <c r="B35" s="10" t="s">
        <v>65</v>
      </c>
      <c r="C35" s="11"/>
      <c r="D35" s="11">
        <v>0</v>
      </c>
      <c r="E35" s="11"/>
      <c r="F35" s="10"/>
      <c r="G35" s="12" t="s">
        <v>21</v>
      </c>
      <c r="H35" s="12"/>
      <c r="I35" s="11">
        <v>0</v>
      </c>
      <c r="J35" s="11">
        <v>0</v>
      </c>
      <c r="K35" s="11">
        <v>0</v>
      </c>
      <c r="L35" s="11">
        <v>0</v>
      </c>
      <c r="M35" s="11">
        <v>0</v>
      </c>
    </row>
    <row r="36" spans="1:15" x14ac:dyDescent="0.25">
      <c r="A36" s="9">
        <v>43</v>
      </c>
      <c r="B36" s="27" t="s">
        <v>66</v>
      </c>
      <c r="C36" s="11"/>
      <c r="D36" s="11">
        <v>14.141249999999999</v>
      </c>
      <c r="E36" s="11"/>
      <c r="F36" s="10"/>
      <c r="G36" s="12"/>
      <c r="H36" s="12" t="s">
        <v>67</v>
      </c>
      <c r="I36" s="11">
        <v>14.141249999999999</v>
      </c>
      <c r="J36" s="11">
        <v>14.141249999999999</v>
      </c>
      <c r="K36" s="11">
        <v>14.141249999999999</v>
      </c>
      <c r="L36" s="11">
        <v>14.141249999999999</v>
      </c>
      <c r="M36" s="11">
        <v>14.141249999999999</v>
      </c>
    </row>
    <row r="37" spans="1:15" x14ac:dyDescent="0.25">
      <c r="A37" s="9">
        <v>44</v>
      </c>
      <c r="B37" s="27" t="s">
        <v>68</v>
      </c>
      <c r="C37" s="11"/>
      <c r="D37" s="11">
        <v>11.129999999999999</v>
      </c>
      <c r="E37" s="11"/>
      <c r="F37" s="10"/>
      <c r="G37" s="12"/>
      <c r="H37" s="12" t="s">
        <v>67</v>
      </c>
      <c r="I37" s="11">
        <v>11.129999999999999</v>
      </c>
      <c r="J37" s="11">
        <v>11.129999999999999</v>
      </c>
      <c r="K37" s="11">
        <v>11.129999999999999</v>
      </c>
      <c r="L37" s="11">
        <v>11.129999999999999</v>
      </c>
      <c r="M37" s="11">
        <v>11.129999999999999</v>
      </c>
    </row>
    <row r="38" spans="1:15" x14ac:dyDescent="0.25">
      <c r="A38" s="9">
        <v>45</v>
      </c>
      <c r="B38" s="27" t="s">
        <v>69</v>
      </c>
      <c r="C38" s="11"/>
      <c r="D38" s="11">
        <v>3.723567518797001</v>
      </c>
      <c r="E38" s="11"/>
      <c r="F38" s="10"/>
      <c r="G38" s="12"/>
      <c r="H38" s="12" t="s">
        <v>70</v>
      </c>
      <c r="I38" s="11">
        <v>3.723567518797001</v>
      </c>
      <c r="J38" s="11">
        <v>3.723567518797001</v>
      </c>
      <c r="K38" s="11">
        <v>3.723567518797001</v>
      </c>
      <c r="L38" s="11">
        <v>3.723567518797001</v>
      </c>
      <c r="M38" s="11">
        <v>3.723567518797001</v>
      </c>
    </row>
    <row r="39" spans="1:15" x14ac:dyDescent="0.25">
      <c r="A39" s="9">
        <v>46</v>
      </c>
      <c r="B39" s="27" t="s">
        <v>71</v>
      </c>
      <c r="C39" s="11"/>
      <c r="D39" s="11">
        <v>8.2350000000000012</v>
      </c>
      <c r="E39" s="11"/>
      <c r="F39" s="10"/>
      <c r="G39" s="12"/>
      <c r="H39" s="12" t="s">
        <v>67</v>
      </c>
      <c r="I39" s="11">
        <v>8.2350000000000012</v>
      </c>
      <c r="J39" s="11">
        <v>8.2350000000000012</v>
      </c>
      <c r="K39" s="11">
        <v>8.2350000000000012</v>
      </c>
      <c r="L39" s="11">
        <v>8.2350000000000012</v>
      </c>
      <c r="M39" s="11">
        <v>8.2350000000000012</v>
      </c>
    </row>
    <row r="40" spans="1:15" x14ac:dyDescent="0.25">
      <c r="A40" s="9">
        <v>47</v>
      </c>
      <c r="B40" s="27" t="s">
        <v>72</v>
      </c>
      <c r="C40" s="11"/>
      <c r="D40" s="11">
        <v>8.2350000000000012</v>
      </c>
      <c r="E40" s="11"/>
      <c r="F40" s="10"/>
      <c r="G40" s="12"/>
      <c r="H40" s="12" t="s">
        <v>67</v>
      </c>
      <c r="I40" s="11">
        <v>8.2350000000000012</v>
      </c>
      <c r="J40" s="11">
        <v>8.2350000000000012</v>
      </c>
      <c r="K40" s="11">
        <v>8.2350000000000012</v>
      </c>
      <c r="L40" s="11">
        <v>8.2350000000000012</v>
      </c>
      <c r="M40" s="11">
        <v>8.2350000000000012</v>
      </c>
    </row>
    <row r="41" spans="1:15" x14ac:dyDescent="0.25">
      <c r="A41" s="9">
        <v>48</v>
      </c>
      <c r="B41" s="27" t="s">
        <v>73</v>
      </c>
      <c r="C41" s="11"/>
      <c r="D41" s="11">
        <v>8.6016393442622956</v>
      </c>
      <c r="E41" s="11"/>
      <c r="F41" s="10"/>
      <c r="G41" s="12"/>
      <c r="H41" s="12" t="s">
        <v>67</v>
      </c>
      <c r="I41" s="11">
        <v>8.6016393442622956</v>
      </c>
      <c r="J41" s="11">
        <v>8.6016393442622956</v>
      </c>
      <c r="K41" s="11">
        <v>8.6016393442622956</v>
      </c>
      <c r="L41" s="11">
        <v>8.6016393442622956</v>
      </c>
      <c r="M41" s="11">
        <v>8.6016393442622956</v>
      </c>
    </row>
    <row r="42" spans="1:15" x14ac:dyDescent="0.25">
      <c r="A42" s="9">
        <v>54</v>
      </c>
      <c r="B42" s="10" t="s">
        <v>74</v>
      </c>
      <c r="C42" s="11"/>
      <c r="D42" s="11">
        <v>6.24</v>
      </c>
      <c r="E42" s="11"/>
      <c r="F42" s="10"/>
      <c r="G42" s="12"/>
      <c r="H42" s="12" t="s">
        <v>67</v>
      </c>
      <c r="I42" s="11">
        <v>6.24</v>
      </c>
      <c r="J42" s="11">
        <v>6.24</v>
      </c>
      <c r="K42" s="11">
        <v>6.24</v>
      </c>
      <c r="L42" s="11">
        <v>6.24</v>
      </c>
      <c r="M42" s="11">
        <v>6.24</v>
      </c>
      <c r="N42" s="19"/>
      <c r="O42" s="19"/>
    </row>
    <row r="43" spans="1:15" x14ac:dyDescent="0.25">
      <c r="A43" s="21"/>
      <c r="B43" s="5" t="s">
        <v>75</v>
      </c>
      <c r="C43" s="22"/>
      <c r="D43" s="22"/>
      <c r="E43" s="22"/>
      <c r="F43" s="7"/>
      <c r="G43" s="23"/>
      <c r="H43" s="23"/>
      <c r="I43" s="22"/>
      <c r="J43" s="22"/>
      <c r="K43" s="22"/>
      <c r="L43" s="22"/>
      <c r="M43" s="22"/>
      <c r="N43" s="19"/>
      <c r="O43" s="19"/>
    </row>
    <row r="44" spans="1:15" x14ac:dyDescent="0.25">
      <c r="A44" s="9">
        <v>2</v>
      </c>
      <c r="B44" s="10" t="s">
        <v>74</v>
      </c>
      <c r="C44" s="11"/>
      <c r="D44" s="11">
        <v>346.6</v>
      </c>
      <c r="E44" s="11"/>
      <c r="F44" s="10"/>
      <c r="G44" s="12" t="s">
        <v>76</v>
      </c>
      <c r="H44" s="12" t="s">
        <v>77</v>
      </c>
      <c r="I44" s="11">
        <v>346.6</v>
      </c>
      <c r="J44" s="11">
        <v>346.6</v>
      </c>
      <c r="K44" s="11">
        <v>346.6</v>
      </c>
      <c r="L44" s="11">
        <v>346.6</v>
      </c>
      <c r="M44" s="11">
        <v>346.6</v>
      </c>
      <c r="N44" s="19"/>
      <c r="O44" s="19"/>
    </row>
    <row r="45" spans="1:15" x14ac:dyDescent="0.25">
      <c r="A45" s="9">
        <v>8</v>
      </c>
      <c r="B45" s="10" t="s">
        <v>78</v>
      </c>
      <c r="C45" s="11"/>
      <c r="D45" s="11">
        <f>'[1]H2 Preise-Kosten'!D50</f>
        <v>1333.3333333333333</v>
      </c>
      <c r="E45" s="11"/>
      <c r="F45" s="10"/>
      <c r="G45" s="12">
        <v>2022</v>
      </c>
      <c r="H45" s="12" t="s">
        <v>79</v>
      </c>
      <c r="I45" s="11">
        <v>3367</v>
      </c>
      <c r="J45" s="11">
        <v>3367</v>
      </c>
      <c r="K45" s="11">
        <v>3367</v>
      </c>
      <c r="L45" s="11">
        <v>3367</v>
      </c>
      <c r="M45" s="11">
        <v>3367</v>
      </c>
      <c r="N45" s="19"/>
      <c r="O45" s="19"/>
    </row>
    <row r="46" spans="1:15" x14ac:dyDescent="0.25">
      <c r="A46" s="9">
        <v>54</v>
      </c>
      <c r="B46" s="10" t="s">
        <v>80</v>
      </c>
      <c r="C46" s="11"/>
      <c r="D46" s="11">
        <v>72.86</v>
      </c>
      <c r="E46" s="11"/>
      <c r="F46" s="10"/>
      <c r="G46" s="12">
        <v>2018</v>
      </c>
      <c r="H46" s="12" t="s">
        <v>81</v>
      </c>
      <c r="I46" s="11">
        <v>72.86</v>
      </c>
      <c r="J46" s="11">
        <v>72.86</v>
      </c>
      <c r="K46" s="11">
        <v>72.86</v>
      </c>
      <c r="L46" s="11">
        <v>72.86</v>
      </c>
      <c r="M46" s="11">
        <v>72.86</v>
      </c>
      <c r="N46" s="19"/>
      <c r="O46" s="19"/>
    </row>
    <row r="47" spans="1:15" x14ac:dyDescent="0.25">
      <c r="A47" s="9">
        <v>55</v>
      </c>
      <c r="B47" s="10" t="s">
        <v>82</v>
      </c>
      <c r="C47" s="11"/>
      <c r="D47" s="11">
        <v>12.28</v>
      </c>
      <c r="E47" s="11"/>
      <c r="F47" s="10"/>
      <c r="G47" s="12">
        <v>2004</v>
      </c>
      <c r="H47" s="12" t="s">
        <v>83</v>
      </c>
      <c r="I47" s="11">
        <v>12.28</v>
      </c>
      <c r="J47" s="11">
        <v>12.28</v>
      </c>
      <c r="K47" s="11">
        <v>12.28</v>
      </c>
      <c r="L47" s="11">
        <v>12.28</v>
      </c>
      <c r="M47" s="11">
        <v>12.28</v>
      </c>
      <c r="N47" s="19"/>
      <c r="O47" s="19"/>
    </row>
    <row r="48" spans="1:15" x14ac:dyDescent="0.25">
      <c r="A48" s="21"/>
      <c r="B48" s="5" t="s">
        <v>84</v>
      </c>
      <c r="C48" s="22"/>
      <c r="D48" s="22"/>
      <c r="E48" s="22"/>
      <c r="F48" s="7"/>
      <c r="G48" s="23"/>
      <c r="H48" s="23"/>
      <c r="I48" s="22"/>
      <c r="J48" s="22"/>
      <c r="K48" s="22"/>
      <c r="L48" s="22"/>
      <c r="M48" s="22"/>
      <c r="N48" s="19"/>
      <c r="O48" s="19"/>
    </row>
    <row r="49" spans="1:15" x14ac:dyDescent="0.25">
      <c r="A49" s="9"/>
      <c r="B49" s="10" t="s">
        <v>85</v>
      </c>
      <c r="C49" s="11"/>
      <c r="D49" s="11">
        <v>0</v>
      </c>
      <c r="E49" s="11"/>
      <c r="F49" s="10"/>
      <c r="G49" s="12">
        <v>2016</v>
      </c>
      <c r="H49" s="12" t="s">
        <v>34</v>
      </c>
      <c r="I49" s="11">
        <v>0</v>
      </c>
      <c r="J49" s="11">
        <v>0</v>
      </c>
      <c r="K49" s="11">
        <v>0</v>
      </c>
      <c r="L49" s="11">
        <v>0</v>
      </c>
      <c r="M49" s="11">
        <v>0</v>
      </c>
      <c r="N49" s="19"/>
      <c r="O49" s="19"/>
    </row>
    <row r="50" spans="1:15" x14ac:dyDescent="0.25">
      <c r="A50" s="9">
        <v>60</v>
      </c>
      <c r="B50" s="10" t="s">
        <v>86</v>
      </c>
      <c r="C50" s="11"/>
      <c r="D50" s="11">
        <v>180</v>
      </c>
      <c r="E50" s="11"/>
      <c r="F50" s="10"/>
      <c r="G50" s="12">
        <v>2018</v>
      </c>
      <c r="H50" s="12" t="s">
        <v>87</v>
      </c>
      <c r="I50" s="11">
        <v>180</v>
      </c>
      <c r="J50" s="11">
        <v>180</v>
      </c>
      <c r="K50" s="11">
        <v>180</v>
      </c>
      <c r="L50" s="11">
        <v>180</v>
      </c>
      <c r="M50" s="11">
        <v>180</v>
      </c>
      <c r="N50" s="19"/>
      <c r="O50" s="19"/>
    </row>
    <row r="51" spans="1:15" x14ac:dyDescent="0.25">
      <c r="A51" s="9"/>
      <c r="B51" s="10" t="s">
        <v>88</v>
      </c>
      <c r="C51" s="11"/>
      <c r="D51" s="11">
        <v>130</v>
      </c>
      <c r="E51" s="11"/>
      <c r="F51" s="10"/>
      <c r="G51" s="12">
        <v>2016</v>
      </c>
      <c r="H51" s="12" t="s">
        <v>89</v>
      </c>
      <c r="I51" s="11">
        <v>130</v>
      </c>
      <c r="J51" s="11">
        <v>130</v>
      </c>
      <c r="K51" s="11">
        <v>130</v>
      </c>
      <c r="L51" s="11">
        <v>130</v>
      </c>
      <c r="M51" s="11">
        <v>130</v>
      </c>
      <c r="N51" s="19"/>
      <c r="O51" s="19"/>
    </row>
    <row r="52" spans="1:15" x14ac:dyDescent="0.25">
      <c r="A52" s="9">
        <v>61</v>
      </c>
      <c r="B52" s="10" t="s">
        <v>90</v>
      </c>
      <c r="C52" s="11"/>
      <c r="D52" s="11">
        <v>226.14</v>
      </c>
      <c r="E52" s="11"/>
      <c r="F52" s="10"/>
      <c r="G52" s="12">
        <v>2016</v>
      </c>
      <c r="H52" s="12" t="s">
        <v>91</v>
      </c>
      <c r="I52" s="11">
        <v>226.14</v>
      </c>
      <c r="J52" s="11">
        <v>226.14</v>
      </c>
      <c r="K52" s="11">
        <v>226.14</v>
      </c>
      <c r="L52" s="11">
        <v>226.14</v>
      </c>
      <c r="M52" s="11">
        <v>226.14</v>
      </c>
      <c r="N52" s="19"/>
      <c r="O52" s="19"/>
    </row>
    <row r="53" spans="1:15" x14ac:dyDescent="0.25">
      <c r="A53" s="9">
        <v>62</v>
      </c>
      <c r="B53" s="10" t="s">
        <v>92</v>
      </c>
      <c r="C53" s="11"/>
      <c r="D53" s="11">
        <v>221.59</v>
      </c>
      <c r="E53" s="11"/>
      <c r="F53" s="10"/>
      <c r="G53" s="12" t="s">
        <v>76</v>
      </c>
      <c r="H53" s="12" t="s">
        <v>91</v>
      </c>
      <c r="I53" s="11">
        <v>221.59</v>
      </c>
      <c r="J53" s="11">
        <v>221.59</v>
      </c>
      <c r="K53" s="11">
        <v>221.59</v>
      </c>
      <c r="L53" s="11">
        <v>221.59</v>
      </c>
      <c r="M53" s="11">
        <v>221.59</v>
      </c>
      <c r="N53" s="19"/>
      <c r="O53" s="19"/>
    </row>
    <row r="54" spans="1:15" x14ac:dyDescent="0.25">
      <c r="A54" s="9">
        <v>4</v>
      </c>
      <c r="B54" s="10" t="s">
        <v>93</v>
      </c>
      <c r="C54" s="11"/>
      <c r="D54" s="11">
        <v>300</v>
      </c>
      <c r="E54" s="11"/>
      <c r="F54" s="10"/>
      <c r="G54" s="12">
        <v>2016</v>
      </c>
      <c r="H54" s="12" t="s">
        <v>91</v>
      </c>
      <c r="I54" s="11">
        <v>300</v>
      </c>
      <c r="J54" s="11">
        <v>300</v>
      </c>
      <c r="K54" s="11">
        <v>300</v>
      </c>
      <c r="L54" s="11">
        <v>300</v>
      </c>
      <c r="M54" s="11">
        <v>300</v>
      </c>
      <c r="N54" s="19"/>
      <c r="O54" s="19"/>
    </row>
    <row r="55" spans="1:15" x14ac:dyDescent="0.25">
      <c r="A55" s="9"/>
      <c r="B55" s="10" t="s">
        <v>94</v>
      </c>
      <c r="C55" s="11"/>
      <c r="D55" s="11"/>
      <c r="E55" s="11"/>
      <c r="F55" s="10"/>
      <c r="G55" s="12" t="s">
        <v>95</v>
      </c>
      <c r="H55" s="12"/>
      <c r="I55" s="11"/>
      <c r="J55" s="11"/>
      <c r="K55" s="11"/>
      <c r="L55" s="11"/>
      <c r="M55" s="11"/>
      <c r="N55" s="19"/>
      <c r="O55" s="19"/>
    </row>
    <row r="56" spans="1:15" x14ac:dyDescent="0.25">
      <c r="A56" s="9">
        <v>63</v>
      </c>
      <c r="B56" s="10" t="s">
        <v>96</v>
      </c>
      <c r="C56" s="11"/>
      <c r="D56" s="11">
        <v>525</v>
      </c>
      <c r="E56" s="11"/>
      <c r="F56" s="10"/>
      <c r="G56" s="12" t="s">
        <v>76</v>
      </c>
      <c r="H56" s="12" t="s">
        <v>97</v>
      </c>
      <c r="I56" s="11">
        <v>525</v>
      </c>
      <c r="J56" s="11">
        <v>525</v>
      </c>
      <c r="K56" s="11">
        <v>525</v>
      </c>
      <c r="L56" s="11">
        <v>525</v>
      </c>
      <c r="M56" s="11">
        <v>525</v>
      </c>
    </row>
    <row r="57" spans="1:15" x14ac:dyDescent="0.25">
      <c r="A57" s="9"/>
      <c r="B57" s="18" t="s">
        <v>98</v>
      </c>
      <c r="C57" s="11"/>
      <c r="D57" s="11"/>
      <c r="E57" s="11"/>
      <c r="F57" s="10"/>
      <c r="G57" s="12" t="s">
        <v>95</v>
      </c>
      <c r="H57" s="12"/>
      <c r="I57" s="11"/>
      <c r="J57" s="11"/>
      <c r="K57" s="11"/>
      <c r="L57" s="11"/>
      <c r="M57" s="11"/>
    </row>
    <row r="58" spans="1:15" x14ac:dyDescent="0.25">
      <c r="A58" s="9">
        <v>64</v>
      </c>
      <c r="B58" s="10" t="s">
        <v>99</v>
      </c>
      <c r="C58" s="11"/>
      <c r="D58" s="11">
        <v>153</v>
      </c>
      <c r="E58" s="11"/>
      <c r="F58" s="10"/>
      <c r="G58" s="12">
        <v>2016</v>
      </c>
      <c r="H58" s="12" t="s">
        <v>89</v>
      </c>
      <c r="I58" s="11">
        <v>153</v>
      </c>
      <c r="J58" s="11">
        <v>153</v>
      </c>
      <c r="K58" s="11">
        <v>153</v>
      </c>
      <c r="L58" s="11">
        <v>153</v>
      </c>
      <c r="M58" s="11">
        <v>153</v>
      </c>
    </row>
    <row r="59" spans="1:15" x14ac:dyDescent="0.25">
      <c r="A59" s="9">
        <v>65</v>
      </c>
      <c r="B59" s="10" t="s">
        <v>100</v>
      </c>
      <c r="C59" s="11"/>
      <c r="D59" s="11">
        <v>704.55</v>
      </c>
      <c r="E59" s="11"/>
      <c r="F59" s="10"/>
      <c r="G59" s="12">
        <v>2016</v>
      </c>
      <c r="H59" s="12" t="s">
        <v>89</v>
      </c>
      <c r="I59" s="11">
        <v>704.55</v>
      </c>
      <c r="J59" s="11">
        <v>704.55</v>
      </c>
      <c r="K59" s="11">
        <v>704.55</v>
      </c>
      <c r="L59" s="11">
        <v>704.55</v>
      </c>
      <c r="M59" s="11">
        <v>704.55</v>
      </c>
    </row>
    <row r="60" spans="1:15" x14ac:dyDescent="0.25">
      <c r="A60" s="9"/>
      <c r="B60" s="10" t="s">
        <v>69</v>
      </c>
      <c r="C60" s="11">
        <v>307.17543938106525</v>
      </c>
      <c r="D60" s="11">
        <v>580.67058718304202</v>
      </c>
      <c r="E60" s="11">
        <v>854.16573498501862</v>
      </c>
      <c r="F60" s="10"/>
      <c r="G60" s="12"/>
      <c r="H60" s="12" t="s">
        <v>101</v>
      </c>
      <c r="I60" s="11">
        <v>580</v>
      </c>
      <c r="J60" s="11">
        <v>580</v>
      </c>
      <c r="K60" s="11">
        <v>580</v>
      </c>
      <c r="L60" s="11">
        <v>580</v>
      </c>
      <c r="M60" s="11">
        <v>580</v>
      </c>
    </row>
    <row r="61" spans="1:15" x14ac:dyDescent="0.25">
      <c r="A61" s="21"/>
      <c r="B61" s="5" t="s">
        <v>102</v>
      </c>
      <c r="C61" s="22"/>
      <c r="D61" s="22"/>
      <c r="E61" s="22"/>
      <c r="F61" s="7"/>
      <c r="G61" s="23" t="s">
        <v>103</v>
      </c>
      <c r="H61" s="23" t="s">
        <v>104</v>
      </c>
      <c r="I61" s="22"/>
      <c r="J61" s="22"/>
      <c r="K61" s="22"/>
      <c r="L61" s="22"/>
      <c r="M61" s="22"/>
      <c r="N61" s="19"/>
      <c r="O61" s="19"/>
    </row>
    <row r="62" spans="1:15" x14ac:dyDescent="0.25">
      <c r="A62" s="28"/>
      <c r="B62" s="28"/>
      <c r="C62" s="29"/>
      <c r="D62" s="29"/>
      <c r="E62" s="29"/>
      <c r="F62" s="28"/>
      <c r="G62" s="30">
        <v>2021</v>
      </c>
      <c r="I62" s="31">
        <v>3.0320999999999998</v>
      </c>
      <c r="J62" s="30">
        <v>3.0320999999999998</v>
      </c>
      <c r="K62" s="30">
        <v>3.0320999999999998</v>
      </c>
      <c r="L62" s="30">
        <v>6.0641999999999996</v>
      </c>
      <c r="M62" s="30">
        <v>3.0320999999999998</v>
      </c>
    </row>
    <row r="63" spans="1:15" x14ac:dyDescent="0.25">
      <c r="A63" s="28"/>
      <c r="B63" s="28"/>
      <c r="C63" s="29"/>
      <c r="D63" s="29"/>
      <c r="E63" s="29"/>
      <c r="F63" s="28"/>
      <c r="G63" s="11">
        <v>2022</v>
      </c>
      <c r="I63" s="32">
        <v>3.0424790993226476</v>
      </c>
      <c r="J63" s="11">
        <v>3.0487747982200868</v>
      </c>
      <c r="K63" s="11">
        <v>3.0487747982200868</v>
      </c>
      <c r="L63" s="11">
        <v>6.0809353267422228</v>
      </c>
      <c r="M63" s="11">
        <v>3.0784968523378944</v>
      </c>
    </row>
    <row r="64" spans="1:15" x14ac:dyDescent="0.25">
      <c r="A64" s="28"/>
      <c r="B64" s="28"/>
      <c r="C64" s="29"/>
      <c r="D64" s="29"/>
      <c r="E64" s="29"/>
      <c r="F64" s="28"/>
      <c r="G64" s="11">
        <v>2023</v>
      </c>
      <c r="I64" s="32">
        <v>3.0528581986452954</v>
      </c>
      <c r="J64" s="11">
        <v>3.0654495964401738</v>
      </c>
      <c r="K64" s="11">
        <v>3.0654495964401738</v>
      </c>
      <c r="L64" s="11">
        <v>6.097670653484446</v>
      </c>
      <c r="M64" s="11">
        <v>3.124893704675789</v>
      </c>
    </row>
    <row r="65" spans="1:15" x14ac:dyDescent="0.25">
      <c r="A65" s="28"/>
      <c r="B65" s="28"/>
      <c r="C65" s="29"/>
      <c r="D65" s="29"/>
      <c r="E65" s="29"/>
      <c r="F65" s="28"/>
      <c r="G65" s="11">
        <v>2024</v>
      </c>
      <c r="I65" s="32">
        <v>3.0632372979679432</v>
      </c>
      <c r="J65" s="11">
        <v>3.0821243946602608</v>
      </c>
      <c r="K65" s="11">
        <v>3.0821243946602608</v>
      </c>
      <c r="L65" s="11">
        <v>6.1144059802266693</v>
      </c>
      <c r="M65" s="11">
        <v>3.1712905570136836</v>
      </c>
    </row>
    <row r="66" spans="1:15" x14ac:dyDescent="0.25">
      <c r="A66" s="28"/>
      <c r="B66" s="28"/>
      <c r="C66" s="29"/>
      <c r="D66" s="29"/>
      <c r="E66" s="29"/>
      <c r="F66" s="28"/>
      <c r="G66" s="11">
        <v>2025</v>
      </c>
      <c r="I66" s="32">
        <v>3.073616397290591</v>
      </c>
      <c r="J66" s="11">
        <v>3.0987991928803478</v>
      </c>
      <c r="K66" s="11">
        <v>3.0987991928803478</v>
      </c>
      <c r="L66" s="11">
        <v>6.1311413069688925</v>
      </c>
      <c r="M66" s="11">
        <v>3.2176874093515782</v>
      </c>
    </row>
    <row r="67" spans="1:15" x14ac:dyDescent="0.25">
      <c r="A67" s="28"/>
      <c r="B67" s="28"/>
      <c r="C67" s="29"/>
      <c r="D67" s="29"/>
      <c r="E67" s="29"/>
      <c r="F67" s="28"/>
      <c r="G67" s="11">
        <v>2026</v>
      </c>
      <c r="I67" s="32">
        <v>3.0839954966132388</v>
      </c>
      <c r="J67" s="11">
        <v>3.1154739911004348</v>
      </c>
      <c r="K67" s="11">
        <v>3.1154739911004348</v>
      </c>
      <c r="L67" s="11">
        <v>6.1478766337111157</v>
      </c>
      <c r="M67" s="11">
        <v>3.2640842616894727</v>
      </c>
    </row>
    <row r="68" spans="1:15" x14ac:dyDescent="0.25">
      <c r="A68" s="28"/>
      <c r="B68" s="28"/>
      <c r="C68" s="29"/>
      <c r="D68" s="29"/>
      <c r="E68" s="29"/>
      <c r="F68" s="28"/>
      <c r="G68" s="11">
        <v>2027</v>
      </c>
      <c r="I68" s="32">
        <v>3.0943745959358866</v>
      </c>
      <c r="J68" s="11">
        <v>3.1321487893205218</v>
      </c>
      <c r="K68" s="11">
        <v>3.1321487893205218</v>
      </c>
      <c r="L68" s="11">
        <v>6.1646119604533389</v>
      </c>
      <c r="M68" s="11">
        <v>3.3104811140273673</v>
      </c>
    </row>
    <row r="69" spans="1:15" x14ac:dyDescent="0.25">
      <c r="A69" s="28"/>
      <c r="B69" s="28"/>
      <c r="C69" s="29"/>
      <c r="D69" s="29"/>
      <c r="E69" s="29"/>
      <c r="F69" s="28"/>
      <c r="G69" s="11">
        <v>2028</v>
      </c>
      <c r="I69" s="32">
        <v>3.1047536952585344</v>
      </c>
      <c r="J69" s="11">
        <v>3.1488235875406088</v>
      </c>
      <c r="K69" s="11">
        <v>3.1488235875406088</v>
      </c>
      <c r="L69" s="11">
        <v>6.1813472871955621</v>
      </c>
      <c r="M69" s="11">
        <v>3.3568779663652619</v>
      </c>
    </row>
    <row r="70" spans="1:15" x14ac:dyDescent="0.25">
      <c r="A70" s="28"/>
      <c r="B70" s="28"/>
      <c r="C70" s="29"/>
      <c r="D70" s="29"/>
      <c r="E70" s="29"/>
      <c r="F70" s="28"/>
      <c r="G70" s="11">
        <v>2029</v>
      </c>
      <c r="I70" s="32">
        <v>3.1151327945811822</v>
      </c>
      <c r="J70" s="11">
        <v>3.1654983857606958</v>
      </c>
      <c r="K70" s="11">
        <v>3.1654983857606958</v>
      </c>
      <c r="L70" s="11">
        <v>6.1980826139377854</v>
      </c>
      <c r="M70" s="11">
        <v>3.4032748187031565</v>
      </c>
    </row>
    <row r="71" spans="1:15" x14ac:dyDescent="0.25">
      <c r="A71" s="28"/>
      <c r="B71" s="28"/>
      <c r="C71" s="29"/>
      <c r="D71" s="29"/>
      <c r="E71" s="29"/>
      <c r="F71" s="28"/>
      <c r="G71" s="11">
        <v>2030</v>
      </c>
      <c r="I71" s="32">
        <v>3.1255118939038304</v>
      </c>
      <c r="J71" s="11">
        <v>3.1821731839807832</v>
      </c>
      <c r="K71" s="11">
        <v>3.1821731839807832</v>
      </c>
      <c r="L71" s="11">
        <v>6.2148179406800095</v>
      </c>
      <c r="M71" s="11">
        <v>3.4496716710410493</v>
      </c>
    </row>
    <row r="72" spans="1:15" x14ac:dyDescent="0.25">
      <c r="A72" s="33"/>
      <c r="B72" s="34" t="s">
        <v>105</v>
      </c>
      <c r="C72" s="35"/>
      <c r="D72" s="35"/>
      <c r="E72" s="35"/>
      <c r="F72" s="33"/>
      <c r="G72" s="23" t="s">
        <v>103</v>
      </c>
      <c r="H72" s="36" t="s">
        <v>106</v>
      </c>
      <c r="I72" s="37"/>
      <c r="J72" s="22"/>
      <c r="K72" s="22"/>
      <c r="L72" s="22"/>
      <c r="M72" s="22"/>
      <c r="N72" s="19"/>
      <c r="O72" s="19"/>
    </row>
    <row r="73" spans="1:15" x14ac:dyDescent="0.25">
      <c r="A73" s="28"/>
      <c r="B73" s="28"/>
      <c r="C73" s="29"/>
      <c r="D73" s="29"/>
      <c r="E73" s="29"/>
      <c r="F73" s="28"/>
      <c r="G73" s="11">
        <v>2021</v>
      </c>
      <c r="H73" s="38"/>
      <c r="I73" s="32">
        <v>3.4</v>
      </c>
      <c r="J73" s="11">
        <v>3.4</v>
      </c>
      <c r="K73" s="11">
        <v>3.4</v>
      </c>
      <c r="L73" s="11">
        <v>6.8</v>
      </c>
      <c r="M73" s="11">
        <v>3.4</v>
      </c>
    </row>
    <row r="74" spans="1:15" x14ac:dyDescent="0.25">
      <c r="A74" s="28"/>
      <c r="B74" s="28"/>
      <c r="C74" s="29"/>
      <c r="D74" s="29"/>
      <c r="E74" s="29"/>
      <c r="F74" s="28"/>
      <c r="G74" s="11">
        <v>2022</v>
      </c>
      <c r="H74" s="38"/>
      <c r="I74" s="32">
        <v>3.3329538271546117</v>
      </c>
      <c r="J74" s="11">
        <v>3.3329538271546117</v>
      </c>
      <c r="K74" s="11">
        <v>3.3329538271546117</v>
      </c>
      <c r="L74" s="11">
        <v>6.6659076543092235</v>
      </c>
      <c r="M74" s="11">
        <v>3.378830447179896</v>
      </c>
    </row>
    <row r="75" spans="1:15" x14ac:dyDescent="0.25">
      <c r="A75" s="28"/>
      <c r="B75" s="28"/>
      <c r="C75" s="29"/>
      <c r="D75" s="29"/>
      <c r="E75" s="29"/>
      <c r="F75" s="28"/>
      <c r="G75" s="11">
        <v>2023</v>
      </c>
      <c r="H75" s="38"/>
      <c r="I75" s="32">
        <v>3.2659076543092236</v>
      </c>
      <c r="J75" s="11">
        <v>3.2659076543092236</v>
      </c>
      <c r="K75" s="11">
        <v>3.2659076543092236</v>
      </c>
      <c r="L75" s="11">
        <v>6.5318153086184472</v>
      </c>
      <c r="M75" s="11">
        <v>3.3576608943597921</v>
      </c>
    </row>
    <row r="76" spans="1:15" x14ac:dyDescent="0.25">
      <c r="A76" s="28"/>
      <c r="B76" s="28"/>
      <c r="C76" s="29"/>
      <c r="D76" s="29"/>
      <c r="E76" s="29"/>
      <c r="F76" s="28"/>
      <c r="G76" s="11">
        <v>2024</v>
      </c>
      <c r="H76" s="38"/>
      <c r="I76" s="32">
        <v>3.1988614814638354</v>
      </c>
      <c r="J76" s="11">
        <v>3.1988614814638354</v>
      </c>
      <c r="K76" s="11">
        <v>3.1988614814638354</v>
      </c>
      <c r="L76" s="11">
        <v>6.3977229629276708</v>
      </c>
      <c r="M76" s="11">
        <v>3.3364913415396882</v>
      </c>
    </row>
    <row r="77" spans="1:15" x14ac:dyDescent="0.25">
      <c r="A77" s="28"/>
      <c r="B77" s="28"/>
      <c r="C77" s="29"/>
      <c r="D77" s="29"/>
      <c r="E77" s="29"/>
      <c r="F77" s="28"/>
      <c r="G77" s="11">
        <v>2025</v>
      </c>
      <c r="H77" s="38"/>
      <c r="I77" s="32">
        <v>3.1318153086184473</v>
      </c>
      <c r="J77" s="11">
        <v>3.1318153086184473</v>
      </c>
      <c r="K77" s="11">
        <v>3.1318153086184473</v>
      </c>
      <c r="L77" s="11">
        <v>6.2636306172368945</v>
      </c>
      <c r="M77" s="11">
        <v>3.3153217887195843</v>
      </c>
    </row>
    <row r="78" spans="1:15" x14ac:dyDescent="0.25">
      <c r="A78" s="28"/>
      <c r="B78" s="28"/>
      <c r="C78" s="29"/>
      <c r="D78" s="29"/>
      <c r="E78" s="29"/>
      <c r="F78" s="28"/>
      <c r="G78" s="11">
        <v>2026</v>
      </c>
      <c r="H78" s="38"/>
      <c r="I78" s="32">
        <v>3.0647691357730591</v>
      </c>
      <c r="J78" s="11">
        <v>3.0647691357730591</v>
      </c>
      <c r="K78" s="11">
        <v>3.0647691357730591</v>
      </c>
      <c r="L78" s="11">
        <v>6.1295382715461182</v>
      </c>
      <c r="M78" s="11">
        <v>3.2941522358994804</v>
      </c>
    </row>
    <row r="79" spans="1:15" x14ac:dyDescent="0.25">
      <c r="A79" s="28"/>
      <c r="B79" s="28"/>
      <c r="C79" s="29"/>
      <c r="D79" s="29"/>
      <c r="E79" s="29"/>
      <c r="F79" s="28"/>
      <c r="G79" s="11">
        <v>2027</v>
      </c>
      <c r="H79" s="38"/>
      <c r="I79" s="32">
        <v>2.9977229629276709</v>
      </c>
      <c r="J79" s="11">
        <v>2.9977229629276709</v>
      </c>
      <c r="K79" s="11">
        <v>2.9977229629276709</v>
      </c>
      <c r="L79" s="11">
        <v>5.9954459258553419</v>
      </c>
      <c r="M79" s="11">
        <v>3.2729826830793765</v>
      </c>
    </row>
    <row r="80" spans="1:15" x14ac:dyDescent="0.25">
      <c r="A80" s="28"/>
      <c r="B80" s="28"/>
      <c r="C80" s="29"/>
      <c r="D80" s="29"/>
      <c r="E80" s="29"/>
      <c r="F80" s="28"/>
      <c r="G80" s="11">
        <v>2028</v>
      </c>
      <c r="H80" s="38"/>
      <c r="I80" s="32">
        <v>2.9306767900822828</v>
      </c>
      <c r="J80" s="11">
        <v>2.9306767900822828</v>
      </c>
      <c r="K80" s="11">
        <v>2.9306767900822828</v>
      </c>
      <c r="L80" s="11">
        <v>5.8613535801645655</v>
      </c>
      <c r="M80" s="11">
        <v>3.2518131302592725</v>
      </c>
    </row>
    <row r="81" spans="1:13" x14ac:dyDescent="0.25">
      <c r="A81" s="28"/>
      <c r="B81" s="28"/>
      <c r="C81" s="29"/>
      <c r="D81" s="29"/>
      <c r="E81" s="29"/>
      <c r="F81" s="28"/>
      <c r="G81" s="11">
        <v>2029</v>
      </c>
      <c r="H81" s="38"/>
      <c r="I81" s="32">
        <v>2.8636306172368946</v>
      </c>
      <c r="J81" s="11">
        <v>2.8636306172368946</v>
      </c>
      <c r="K81" s="11">
        <v>2.8636306172368946</v>
      </c>
      <c r="L81" s="11">
        <v>5.7272612344737892</v>
      </c>
      <c r="M81" s="11">
        <v>3.2306435774391686</v>
      </c>
    </row>
    <row r="82" spans="1:13" x14ac:dyDescent="0.25">
      <c r="A82" s="33"/>
      <c r="B82" s="33"/>
      <c r="C82" s="35"/>
      <c r="D82" s="35"/>
      <c r="E82" s="35"/>
      <c r="F82" s="33"/>
      <c r="G82" s="22">
        <v>2030</v>
      </c>
      <c r="H82" s="36"/>
      <c r="I82" s="37">
        <v>2.7965844443915051</v>
      </c>
      <c r="J82" s="22">
        <v>2.7965844443915051</v>
      </c>
      <c r="K82" s="22">
        <v>2.7965844443915051</v>
      </c>
      <c r="L82" s="22">
        <v>5.5931688887830102</v>
      </c>
      <c r="M82" s="22">
        <v>3.2094740246190629</v>
      </c>
    </row>
    <row r="83" spans="1:13" x14ac:dyDescent="0.25">
      <c r="A83" s="39" t="s">
        <v>107</v>
      </c>
    </row>
    <row r="84" spans="1:13" x14ac:dyDescent="0.25">
      <c r="A84" s="3" t="s">
        <v>108</v>
      </c>
      <c r="B84" s="3" t="s">
        <v>109</v>
      </c>
    </row>
    <row r="85" spans="1:13" x14ac:dyDescent="0.25">
      <c r="A85" s="3" t="s">
        <v>110</v>
      </c>
      <c r="B85" s="3" t="s">
        <v>111</v>
      </c>
    </row>
    <row r="86" spans="1:13" x14ac:dyDescent="0.25">
      <c r="A86" s="3" t="s">
        <v>112</v>
      </c>
      <c r="B86" s="3" t="s">
        <v>113</v>
      </c>
    </row>
    <row r="87" spans="1:13" x14ac:dyDescent="0.25">
      <c r="A87" s="3" t="s">
        <v>114</v>
      </c>
      <c r="B87" s="3" t="s">
        <v>115</v>
      </c>
    </row>
    <row r="88" spans="1:13" x14ac:dyDescent="0.25">
      <c r="A88" s="3" t="s">
        <v>116</v>
      </c>
      <c r="B88" s="3" t="s">
        <v>117</v>
      </c>
    </row>
    <row r="89" spans="1:13" x14ac:dyDescent="0.25">
      <c r="A89" s="3" t="s">
        <v>118</v>
      </c>
      <c r="B89" s="3" t="s">
        <v>119</v>
      </c>
    </row>
    <row r="90" spans="1:13" x14ac:dyDescent="0.25">
      <c r="A90" s="3" t="s">
        <v>120</v>
      </c>
      <c r="B90" s="3" t="s">
        <v>121</v>
      </c>
    </row>
    <row r="91" spans="1:13" x14ac:dyDescent="0.25">
      <c r="A91" s="3" t="s">
        <v>122</v>
      </c>
      <c r="B91" s="3" t="s">
        <v>123</v>
      </c>
    </row>
    <row r="92" spans="1:13" x14ac:dyDescent="0.25">
      <c r="A92" s="3" t="s">
        <v>124</v>
      </c>
      <c r="B92" s="3" t="s">
        <v>125</v>
      </c>
    </row>
    <row r="93" spans="1:13" x14ac:dyDescent="0.25">
      <c r="A93" s="3" t="s">
        <v>126</v>
      </c>
      <c r="B93" s="3" t="s">
        <v>127</v>
      </c>
    </row>
    <row r="94" spans="1:13" x14ac:dyDescent="0.25">
      <c r="A94" s="3" t="s">
        <v>128</v>
      </c>
      <c r="B94" s="3" t="s">
        <v>129</v>
      </c>
    </row>
    <row r="95" spans="1:13" x14ac:dyDescent="0.25">
      <c r="A95" s="3" t="s">
        <v>130</v>
      </c>
      <c r="B95" s="3" t="s">
        <v>131</v>
      </c>
    </row>
    <row r="96" spans="1:13" x14ac:dyDescent="0.25">
      <c r="A96" s="3" t="s">
        <v>132</v>
      </c>
      <c r="B96" s="3" t="s">
        <v>133</v>
      </c>
    </row>
    <row r="97" spans="1:2" x14ac:dyDescent="0.25">
      <c r="A97" s="3" t="s">
        <v>134</v>
      </c>
      <c r="B97" s="3" t="s">
        <v>135</v>
      </c>
    </row>
    <row r="98" spans="1:2" x14ac:dyDescent="0.25">
      <c r="A98" s="3" t="s">
        <v>136</v>
      </c>
      <c r="B98" s="3" t="s">
        <v>137</v>
      </c>
    </row>
    <row r="99" spans="1:2" x14ac:dyDescent="0.25">
      <c r="A99" s="3" t="s">
        <v>138</v>
      </c>
      <c r="B99" s="3" t="s">
        <v>139</v>
      </c>
    </row>
    <row r="100" spans="1:2" x14ac:dyDescent="0.25">
      <c r="A100" s="3" t="s">
        <v>140</v>
      </c>
      <c r="B100" s="3" t="s">
        <v>141</v>
      </c>
    </row>
    <row r="101" spans="1:2" x14ac:dyDescent="0.25">
      <c r="A101" s="3" t="s">
        <v>142</v>
      </c>
      <c r="B101" s="3" t="s">
        <v>143</v>
      </c>
    </row>
    <row r="102" spans="1:2" x14ac:dyDescent="0.25">
      <c r="A102" s="3" t="s">
        <v>144</v>
      </c>
      <c r="B102" s="3" t="s">
        <v>145</v>
      </c>
    </row>
    <row r="103" spans="1:2" x14ac:dyDescent="0.25">
      <c r="A103" s="3" t="s">
        <v>146</v>
      </c>
      <c r="B103" s="3" t="s">
        <v>147</v>
      </c>
    </row>
    <row r="104" spans="1:2" x14ac:dyDescent="0.25">
      <c r="A104" s="3" t="s">
        <v>148</v>
      </c>
      <c r="B104" s="3" t="s">
        <v>149</v>
      </c>
    </row>
    <row r="105" spans="1:2" x14ac:dyDescent="0.25">
      <c r="A105" s="3" t="s">
        <v>150</v>
      </c>
      <c r="B105" s="3" t="s">
        <v>151</v>
      </c>
    </row>
    <row r="106" spans="1:2" x14ac:dyDescent="0.25">
      <c r="A106" s="3" t="s">
        <v>152</v>
      </c>
      <c r="B106" s="3" t="s">
        <v>153</v>
      </c>
    </row>
    <row r="107" spans="1:2" x14ac:dyDescent="0.25">
      <c r="A107" s="3" t="s">
        <v>154</v>
      </c>
      <c r="B107" s="3" t="s">
        <v>155</v>
      </c>
    </row>
    <row r="108" spans="1:2" x14ac:dyDescent="0.25">
      <c r="A108" s="3" t="s">
        <v>156</v>
      </c>
      <c r="B108" s="3" t="s">
        <v>157</v>
      </c>
    </row>
    <row r="109" spans="1:2" x14ac:dyDescent="0.25">
      <c r="A109" s="3" t="s">
        <v>158</v>
      </c>
      <c r="B109" s="3" t="s">
        <v>159</v>
      </c>
    </row>
    <row r="110" spans="1:2" x14ac:dyDescent="0.25">
      <c r="A110" s="3" t="s">
        <v>160</v>
      </c>
      <c r="B110" s="3" t="s">
        <v>161</v>
      </c>
    </row>
    <row r="111" spans="1:2" x14ac:dyDescent="0.25">
      <c r="A111" s="3" t="s">
        <v>162</v>
      </c>
      <c r="B111" s="40" t="s">
        <v>163</v>
      </c>
    </row>
    <row r="112" spans="1:2" x14ac:dyDescent="0.25">
      <c r="A112" s="3" t="s">
        <v>164</v>
      </c>
      <c r="B112" s="40" t="s">
        <v>165</v>
      </c>
    </row>
    <row r="113" spans="1:2" x14ac:dyDescent="0.25">
      <c r="A113" s="3" t="s">
        <v>166</v>
      </c>
      <c r="B113" s="40" t="s">
        <v>167</v>
      </c>
    </row>
  </sheetData>
  <mergeCells count="1">
    <mergeCell ref="I1:M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7357F-036B-4940-9D9F-EBC65CD2BA77}">
  <dimension ref="A1:J1048111"/>
  <sheetViews>
    <sheetView zoomScaleNormal="100" workbookViewId="0">
      <pane xSplit="2" ySplit="3" topLeftCell="C4" activePane="bottomRight" state="frozen"/>
      <selection pane="topRight" activeCell="E1" sqref="E1"/>
      <selection pane="bottomLeft" activeCell="A4" sqref="A4"/>
      <selection pane="bottomRight" activeCell="G42" sqref="G42"/>
    </sheetView>
  </sheetViews>
  <sheetFormatPr baseColWidth="10" defaultRowHeight="15" x14ac:dyDescent="0.25"/>
  <cols>
    <col min="1" max="1" width="26.140625" customWidth="1"/>
    <col min="2" max="2" width="14.42578125" bestFit="1" customWidth="1"/>
    <col min="3" max="3" width="21.5703125" customWidth="1"/>
    <col min="4" max="4" width="18.7109375" customWidth="1"/>
    <col min="5" max="5" width="22.7109375" customWidth="1"/>
    <col min="6" max="6" width="12.7109375" customWidth="1"/>
    <col min="7" max="7" width="23.140625" customWidth="1"/>
    <col min="8" max="8" width="12.85546875" customWidth="1"/>
  </cols>
  <sheetData>
    <row r="1" spans="1:10" s="41" customFormat="1" x14ac:dyDescent="0.25">
      <c r="A1" s="42"/>
      <c r="B1" s="43"/>
      <c r="C1" s="87" t="s">
        <v>177</v>
      </c>
      <c r="D1" s="88"/>
      <c r="E1" s="89">
        <v>2030</v>
      </c>
      <c r="F1" s="87"/>
      <c r="G1" s="87"/>
      <c r="H1" s="88"/>
    </row>
    <row r="2" spans="1:10" x14ac:dyDescent="0.25">
      <c r="A2" s="1" t="s">
        <v>178</v>
      </c>
      <c r="B2" s="44"/>
      <c r="C2" s="90"/>
      <c r="D2" s="91"/>
      <c r="E2" s="65" t="s">
        <v>176</v>
      </c>
      <c r="F2" s="46"/>
      <c r="G2" s="45" t="s">
        <v>169</v>
      </c>
      <c r="H2" s="66"/>
      <c r="I2" s="47"/>
      <c r="J2" s="47"/>
    </row>
    <row r="3" spans="1:10" s="1" customFormat="1" ht="61.5" customHeight="1" x14ac:dyDescent="0.25">
      <c r="A3" s="1" t="s">
        <v>179</v>
      </c>
      <c r="B3" s="48" t="s">
        <v>173</v>
      </c>
      <c r="C3" s="45" t="s">
        <v>180</v>
      </c>
      <c r="D3" s="49" t="s">
        <v>181</v>
      </c>
      <c r="E3" s="65" t="s">
        <v>182</v>
      </c>
      <c r="F3" s="45" t="s">
        <v>183</v>
      </c>
      <c r="G3" s="65" t="s">
        <v>182</v>
      </c>
      <c r="H3" s="66" t="s">
        <v>183</v>
      </c>
    </row>
    <row r="4" spans="1:10" x14ac:dyDescent="0.25">
      <c r="A4" t="s">
        <v>12</v>
      </c>
      <c r="B4" s="44" t="s">
        <v>185</v>
      </c>
      <c r="C4" s="50">
        <v>90000</v>
      </c>
      <c r="D4" s="51">
        <v>0</v>
      </c>
      <c r="E4" s="67">
        <v>770000</v>
      </c>
      <c r="F4" s="50">
        <f>E4*0.5</f>
        <v>385000</v>
      </c>
      <c r="G4" s="50">
        <v>770000</v>
      </c>
      <c r="H4" s="51">
        <f>G4*0.5</f>
        <v>385000</v>
      </c>
    </row>
    <row r="5" spans="1:10" x14ac:dyDescent="0.25">
      <c r="A5" t="s">
        <v>17</v>
      </c>
      <c r="B5" s="44" t="s">
        <v>185</v>
      </c>
      <c r="C5" s="50">
        <v>1313000</v>
      </c>
      <c r="D5" s="53">
        <v>0</v>
      </c>
      <c r="E5" s="67">
        <v>1642140</v>
      </c>
      <c r="F5" s="50">
        <f t="shared" ref="F5:F21" si="0">E5*0.5</f>
        <v>821070</v>
      </c>
      <c r="G5" s="50">
        <v>1642140</v>
      </c>
      <c r="H5" s="51">
        <f t="shared" ref="H5:H15" si="1">G5*0.5</f>
        <v>821070</v>
      </c>
    </row>
    <row r="6" spans="1:10" x14ac:dyDescent="0.25">
      <c r="A6" t="s">
        <v>186</v>
      </c>
      <c r="B6" s="44" t="s">
        <v>185</v>
      </c>
      <c r="C6" s="50">
        <v>4301000</v>
      </c>
      <c r="D6" s="51">
        <v>0</v>
      </c>
      <c r="E6" s="67">
        <v>4932000</v>
      </c>
      <c r="F6" s="50">
        <f t="shared" si="0"/>
        <v>2466000</v>
      </c>
      <c r="G6" s="50">
        <v>4932000</v>
      </c>
      <c r="H6" s="51">
        <f t="shared" si="1"/>
        <v>2466000</v>
      </c>
    </row>
    <row r="7" spans="1:10" x14ac:dyDescent="0.25">
      <c r="A7" t="s">
        <v>187</v>
      </c>
      <c r="B7" s="44" t="s">
        <v>185</v>
      </c>
      <c r="C7" s="50">
        <v>1762000</v>
      </c>
      <c r="D7" s="51">
        <v>0</v>
      </c>
      <c r="E7" s="68">
        <v>2512000</v>
      </c>
      <c r="F7" s="50">
        <f t="shared" si="0"/>
        <v>1256000</v>
      </c>
      <c r="G7" s="52">
        <v>2512000</v>
      </c>
      <c r="H7" s="51">
        <f t="shared" si="1"/>
        <v>1256000</v>
      </c>
    </row>
    <row r="8" spans="1:10" x14ac:dyDescent="0.25">
      <c r="A8" t="s">
        <v>20</v>
      </c>
      <c r="B8" s="44" t="s">
        <v>185</v>
      </c>
      <c r="C8" s="50">
        <v>576000</v>
      </c>
      <c r="D8" s="51">
        <v>0</v>
      </c>
      <c r="E8" s="68">
        <v>518000</v>
      </c>
      <c r="F8" s="50">
        <f t="shared" si="0"/>
        <v>259000</v>
      </c>
      <c r="G8" s="52">
        <v>518000</v>
      </c>
      <c r="H8" s="51">
        <f t="shared" si="1"/>
        <v>259000</v>
      </c>
    </row>
    <row r="9" spans="1:10" x14ac:dyDescent="0.25">
      <c r="A9" t="s">
        <v>188</v>
      </c>
      <c r="B9" s="44" t="s">
        <v>185</v>
      </c>
      <c r="C9" s="50">
        <v>3796000</v>
      </c>
      <c r="D9" s="51">
        <v>1000</v>
      </c>
      <c r="E9" s="68">
        <v>4246000</v>
      </c>
      <c r="F9" s="50">
        <f t="shared" si="0"/>
        <v>2123000</v>
      </c>
      <c r="G9" s="52">
        <v>4246000</v>
      </c>
      <c r="H9" s="51">
        <f t="shared" si="1"/>
        <v>2123000</v>
      </c>
    </row>
    <row r="10" spans="1:10" x14ac:dyDescent="0.25">
      <c r="A10" t="s">
        <v>189</v>
      </c>
      <c r="B10" s="44" t="s">
        <v>185</v>
      </c>
      <c r="C10" s="50">
        <v>1115000</v>
      </c>
      <c r="D10" s="51">
        <v>0</v>
      </c>
      <c r="E10" s="68">
        <v>1091000</v>
      </c>
      <c r="F10" s="50">
        <f t="shared" si="0"/>
        <v>545500</v>
      </c>
      <c r="G10" s="52">
        <v>1091000</v>
      </c>
      <c r="H10" s="51">
        <f t="shared" si="1"/>
        <v>545500</v>
      </c>
    </row>
    <row r="11" spans="1:10" x14ac:dyDescent="0.25">
      <c r="A11" t="s">
        <v>190</v>
      </c>
      <c r="B11" s="44" t="s">
        <v>185</v>
      </c>
      <c r="C11" s="50">
        <v>5836000</v>
      </c>
      <c r="D11" s="51">
        <v>0</v>
      </c>
      <c r="E11" s="68">
        <v>7003000</v>
      </c>
      <c r="F11" s="50">
        <f t="shared" si="0"/>
        <v>3501500</v>
      </c>
      <c r="G11" s="52">
        <v>7003000</v>
      </c>
      <c r="H11" s="51">
        <f t="shared" si="1"/>
        <v>3501500</v>
      </c>
    </row>
    <row r="12" spans="1:10" x14ac:dyDescent="0.25">
      <c r="A12" t="s">
        <v>191</v>
      </c>
      <c r="B12" s="44" t="s">
        <v>185</v>
      </c>
      <c r="C12" s="50">
        <v>2654000</v>
      </c>
      <c r="D12" s="51">
        <v>0</v>
      </c>
      <c r="E12" s="68">
        <v>2704000</v>
      </c>
      <c r="F12" s="50">
        <f t="shared" si="0"/>
        <v>1352000</v>
      </c>
      <c r="G12" s="52">
        <v>2704000</v>
      </c>
      <c r="H12" s="51">
        <f t="shared" si="1"/>
        <v>1352000</v>
      </c>
    </row>
    <row r="13" spans="1:10" ht="15.75" customHeight="1" x14ac:dyDescent="0.25">
      <c r="A13" t="s">
        <v>192</v>
      </c>
      <c r="B13" s="44" t="s">
        <v>185</v>
      </c>
      <c r="C13" s="50">
        <v>3417000</v>
      </c>
      <c r="D13" s="51">
        <v>0</v>
      </c>
      <c r="E13" s="68">
        <v>3758000</v>
      </c>
      <c r="F13" s="50">
        <f t="shared" si="0"/>
        <v>1879000</v>
      </c>
      <c r="G13" s="52">
        <v>3758000</v>
      </c>
      <c r="H13" s="51">
        <f t="shared" si="1"/>
        <v>1879000</v>
      </c>
    </row>
    <row r="14" spans="1:10" ht="15" customHeight="1" x14ac:dyDescent="0.25">
      <c r="A14" t="s">
        <v>193</v>
      </c>
      <c r="B14" s="44" t="s">
        <v>185</v>
      </c>
      <c r="C14" s="50">
        <v>19000</v>
      </c>
      <c r="D14" s="51">
        <v>0</v>
      </c>
      <c r="E14" s="68">
        <v>34000</v>
      </c>
      <c r="F14" s="50">
        <f t="shared" si="0"/>
        <v>17000</v>
      </c>
      <c r="G14" s="52">
        <v>34000</v>
      </c>
      <c r="H14" s="51">
        <f t="shared" si="1"/>
        <v>17000</v>
      </c>
    </row>
    <row r="15" spans="1:10" x14ac:dyDescent="0.25">
      <c r="A15" t="s">
        <v>194</v>
      </c>
      <c r="B15" s="44" t="s">
        <v>185</v>
      </c>
      <c r="C15" s="54">
        <v>1638000</v>
      </c>
      <c r="D15" s="51">
        <v>0</v>
      </c>
      <c r="E15" s="69">
        <v>1518000</v>
      </c>
      <c r="F15" s="50">
        <f t="shared" si="0"/>
        <v>759000</v>
      </c>
      <c r="G15" s="55">
        <v>1518000</v>
      </c>
      <c r="H15" s="51">
        <f t="shared" si="1"/>
        <v>759000</v>
      </c>
    </row>
    <row r="16" spans="1:10" x14ac:dyDescent="0.25">
      <c r="A16" t="s">
        <v>26</v>
      </c>
      <c r="B16" s="44" t="s">
        <v>185</v>
      </c>
      <c r="C16" s="50">
        <v>0</v>
      </c>
      <c r="D16" s="51">
        <v>1072000</v>
      </c>
      <c r="E16" s="68">
        <v>39000</v>
      </c>
      <c r="F16" s="50">
        <f>D16</f>
        <v>1072000</v>
      </c>
      <c r="G16" s="52">
        <v>39000</v>
      </c>
      <c r="H16" s="51">
        <f>F16</f>
        <v>1072000</v>
      </c>
    </row>
    <row r="17" spans="1:8" x14ac:dyDescent="0.25">
      <c r="A17" t="s">
        <v>28</v>
      </c>
      <c r="B17" s="44" t="s">
        <v>185</v>
      </c>
      <c r="C17" s="50">
        <v>453000</v>
      </c>
      <c r="D17" s="51">
        <v>0</v>
      </c>
      <c r="E17" s="68">
        <f>C17</f>
        <v>453000</v>
      </c>
      <c r="F17" s="50">
        <f t="shared" si="0"/>
        <v>226500</v>
      </c>
      <c r="G17" s="52">
        <f>E17</f>
        <v>453000</v>
      </c>
      <c r="H17" s="51">
        <f t="shared" ref="H17:H21" si="2">G17*0.5</f>
        <v>226500</v>
      </c>
    </row>
    <row r="18" spans="1:8" x14ac:dyDescent="0.25">
      <c r="A18" t="s">
        <v>33</v>
      </c>
      <c r="B18" s="44" t="s">
        <v>185</v>
      </c>
      <c r="C18" s="50">
        <v>0</v>
      </c>
      <c r="D18" s="51">
        <v>0</v>
      </c>
      <c r="E18" s="68">
        <f>C18</f>
        <v>0</v>
      </c>
      <c r="F18" s="50">
        <f t="shared" si="0"/>
        <v>0</v>
      </c>
      <c r="G18" s="52">
        <f>E18</f>
        <v>0</v>
      </c>
      <c r="H18" s="51">
        <f t="shared" si="2"/>
        <v>0</v>
      </c>
    </row>
    <row r="19" spans="1:8" x14ac:dyDescent="0.25">
      <c r="A19" t="s">
        <v>15</v>
      </c>
      <c r="B19" s="44" t="s">
        <v>185</v>
      </c>
      <c r="C19" s="50">
        <v>2040000</v>
      </c>
      <c r="D19" s="51">
        <v>0</v>
      </c>
      <c r="E19" s="68">
        <v>2457000</v>
      </c>
      <c r="F19" s="50">
        <f t="shared" si="0"/>
        <v>1228500</v>
      </c>
      <c r="G19" s="52">
        <v>2457000</v>
      </c>
      <c r="H19" s="51">
        <f t="shared" si="2"/>
        <v>1228500</v>
      </c>
    </row>
    <row r="20" spans="1:8" x14ac:dyDescent="0.25">
      <c r="A20" t="s">
        <v>195</v>
      </c>
      <c r="B20" s="44" t="s">
        <v>185</v>
      </c>
      <c r="C20" s="54">
        <v>1897000</v>
      </c>
      <c r="D20" s="51">
        <v>0</v>
      </c>
      <c r="E20" s="69">
        <f>[2]Reststoffe_Gesamt_Import!G31</f>
        <v>1897000</v>
      </c>
      <c r="F20" s="50">
        <f t="shared" si="0"/>
        <v>948500</v>
      </c>
      <c r="G20" s="55">
        <f>[2]Reststoffe_Gesamt_Import!I31</f>
        <v>0</v>
      </c>
      <c r="H20" s="51">
        <f t="shared" si="2"/>
        <v>0</v>
      </c>
    </row>
    <row r="21" spans="1:8" x14ac:dyDescent="0.25">
      <c r="A21" t="s">
        <v>175</v>
      </c>
      <c r="B21" s="44" t="s">
        <v>185</v>
      </c>
      <c r="C21" s="50">
        <v>4000</v>
      </c>
      <c r="D21" s="51">
        <v>0</v>
      </c>
      <c r="E21" s="68">
        <f>C21</f>
        <v>4000</v>
      </c>
      <c r="F21" s="50">
        <f t="shared" si="0"/>
        <v>2000</v>
      </c>
      <c r="G21" s="52">
        <f>E21</f>
        <v>4000</v>
      </c>
      <c r="H21" s="51">
        <f t="shared" si="2"/>
        <v>2000</v>
      </c>
    </row>
    <row r="22" spans="1:8" s="41" customFormat="1" x14ac:dyDescent="0.25">
      <c r="A22" s="56" t="s">
        <v>29</v>
      </c>
      <c r="B22" s="44" t="s">
        <v>185</v>
      </c>
      <c r="C22" s="57">
        <v>0</v>
      </c>
      <c r="D22" s="53">
        <v>90000</v>
      </c>
      <c r="E22" s="68">
        <v>0</v>
      </c>
      <c r="F22" s="52">
        <v>749000</v>
      </c>
      <c r="G22" s="52">
        <v>0</v>
      </c>
      <c r="H22" s="53">
        <v>749000</v>
      </c>
    </row>
    <row r="23" spans="1:8" s="41" customFormat="1" x14ac:dyDescent="0.25">
      <c r="A23" s="56" t="s">
        <v>30</v>
      </c>
      <c r="B23" s="44" t="s">
        <v>185</v>
      </c>
      <c r="C23" s="52">
        <v>0</v>
      </c>
      <c r="D23" s="64">
        <v>41000</v>
      </c>
      <c r="E23" s="68">
        <v>0</v>
      </c>
      <c r="F23" s="52">
        <v>41000</v>
      </c>
      <c r="G23" s="52">
        <v>0</v>
      </c>
      <c r="H23" s="53">
        <v>41000</v>
      </c>
    </row>
    <row r="24" spans="1:8" x14ac:dyDescent="0.25">
      <c r="A24" s="56" t="s">
        <v>8</v>
      </c>
      <c r="B24" s="44" t="s">
        <v>185</v>
      </c>
      <c r="C24" s="52">
        <v>0</v>
      </c>
      <c r="D24" s="53">
        <v>0</v>
      </c>
      <c r="E24" s="68">
        <v>0</v>
      </c>
      <c r="F24" s="52">
        <v>0</v>
      </c>
      <c r="G24" s="52">
        <v>0</v>
      </c>
      <c r="H24" s="53">
        <v>0</v>
      </c>
    </row>
    <row r="25" spans="1:8" s="41" customFormat="1" ht="15.75" customHeight="1" x14ac:dyDescent="0.25">
      <c r="A25" s="58" t="s">
        <v>196</v>
      </c>
      <c r="B25" s="44" t="s">
        <v>185</v>
      </c>
      <c r="C25" s="59">
        <v>0</v>
      </c>
      <c r="D25" s="60">
        <v>0</v>
      </c>
      <c r="E25" s="70">
        <v>0</v>
      </c>
      <c r="F25" s="59">
        <v>0</v>
      </c>
      <c r="G25" s="59">
        <v>0</v>
      </c>
      <c r="H25" s="60">
        <v>0</v>
      </c>
    </row>
    <row r="26" spans="1:8" s="41" customFormat="1" x14ac:dyDescent="0.25">
      <c r="A26" s="61" t="s">
        <v>14</v>
      </c>
      <c r="B26" s="72" t="s">
        <v>185</v>
      </c>
      <c r="C26" s="62">
        <v>10365000</v>
      </c>
      <c r="D26" s="63">
        <v>0</v>
      </c>
      <c r="E26" s="71">
        <f>C26</f>
        <v>10365000</v>
      </c>
      <c r="F26" s="62">
        <v>0</v>
      </c>
      <c r="G26" s="62">
        <f>E26</f>
        <v>10365000</v>
      </c>
      <c r="H26" s="63">
        <v>0</v>
      </c>
    </row>
    <row r="27" spans="1:8" x14ac:dyDescent="0.25">
      <c r="A27" s="41" t="s">
        <v>35</v>
      </c>
      <c r="B27" s="44" t="s">
        <v>185</v>
      </c>
      <c r="C27" s="50">
        <v>0</v>
      </c>
      <c r="D27" s="51">
        <v>1970000</v>
      </c>
      <c r="E27" s="68" t="s">
        <v>184</v>
      </c>
      <c r="F27" s="52">
        <f>D27</f>
        <v>1970000</v>
      </c>
      <c r="G27" s="52" t="str">
        <f>E27</f>
        <v>Model result</v>
      </c>
      <c r="H27" s="53">
        <v>0</v>
      </c>
    </row>
    <row r="28" spans="1:8" x14ac:dyDescent="0.25">
      <c r="A28" s="41" t="s">
        <v>37</v>
      </c>
      <c r="B28" s="44" t="s">
        <v>185</v>
      </c>
      <c r="C28" s="50">
        <v>0</v>
      </c>
      <c r="D28" s="51">
        <v>60000</v>
      </c>
      <c r="E28" s="68" t="s">
        <v>184</v>
      </c>
      <c r="F28" s="52">
        <f>D28</f>
        <v>60000</v>
      </c>
      <c r="G28" s="52" t="str">
        <f t="shared" ref="G28:G34" si="3">E28</f>
        <v>Model result</v>
      </c>
      <c r="H28" s="53">
        <v>0</v>
      </c>
    </row>
    <row r="29" spans="1:8" x14ac:dyDescent="0.25">
      <c r="A29" s="41" t="s">
        <v>196</v>
      </c>
      <c r="B29" s="44" t="s">
        <v>185</v>
      </c>
      <c r="C29" s="50">
        <v>0</v>
      </c>
      <c r="D29" s="51">
        <v>387000</v>
      </c>
      <c r="E29" s="68" t="s">
        <v>184</v>
      </c>
      <c r="F29" s="52">
        <f>D29</f>
        <v>387000</v>
      </c>
      <c r="G29" s="52" t="str">
        <f t="shared" si="3"/>
        <v>Model result</v>
      </c>
      <c r="H29" s="53">
        <v>0</v>
      </c>
    </row>
    <row r="30" spans="1:8" x14ac:dyDescent="0.25">
      <c r="A30" s="41" t="s">
        <v>197</v>
      </c>
      <c r="B30" s="44" t="s">
        <v>185</v>
      </c>
      <c r="C30" s="50">
        <v>179000</v>
      </c>
      <c r="D30" s="51">
        <v>17000</v>
      </c>
      <c r="E30" s="68" t="s">
        <v>184</v>
      </c>
      <c r="F30" s="52">
        <v>17000</v>
      </c>
      <c r="G30" s="52" t="str">
        <f t="shared" si="3"/>
        <v>Model result</v>
      </c>
      <c r="H30" s="53">
        <v>0</v>
      </c>
    </row>
    <row r="31" spans="1:8" x14ac:dyDescent="0.25">
      <c r="A31" s="41" t="s">
        <v>198</v>
      </c>
      <c r="B31" s="44" t="s">
        <v>185</v>
      </c>
      <c r="C31" s="50">
        <v>848000</v>
      </c>
      <c r="D31" s="51">
        <v>1272000</v>
      </c>
      <c r="E31" s="68" t="s">
        <v>184</v>
      </c>
      <c r="F31" s="52">
        <f>D31</f>
        <v>1272000</v>
      </c>
      <c r="G31" s="52" t="str">
        <f t="shared" si="3"/>
        <v>Model result</v>
      </c>
      <c r="H31" s="53">
        <v>0</v>
      </c>
    </row>
    <row r="32" spans="1:8" x14ac:dyDescent="0.25">
      <c r="A32" s="41" t="s">
        <v>199</v>
      </c>
      <c r="B32" s="44" t="s">
        <v>185</v>
      </c>
      <c r="C32" s="50">
        <v>167000</v>
      </c>
      <c r="D32" s="51">
        <v>0</v>
      </c>
      <c r="E32" s="68" t="s">
        <v>184</v>
      </c>
      <c r="F32" s="52">
        <f>D32</f>
        <v>0</v>
      </c>
      <c r="G32" s="52" t="str">
        <f t="shared" si="3"/>
        <v>Model result</v>
      </c>
      <c r="H32" s="53">
        <v>0</v>
      </c>
    </row>
    <row r="33" spans="1:8" x14ac:dyDescent="0.25">
      <c r="A33" s="41" t="s">
        <v>200</v>
      </c>
      <c r="B33" s="44" t="s">
        <v>185</v>
      </c>
      <c r="C33" s="50">
        <v>34000</v>
      </c>
      <c r="D33" s="51">
        <v>5393000</v>
      </c>
      <c r="E33" s="68" t="s">
        <v>184</v>
      </c>
      <c r="F33" s="52">
        <f>D33</f>
        <v>5393000</v>
      </c>
      <c r="G33" s="52" t="str">
        <f t="shared" si="3"/>
        <v>Model result</v>
      </c>
      <c r="H33" s="53">
        <v>0</v>
      </c>
    </row>
    <row r="34" spans="1:8" x14ac:dyDescent="0.25">
      <c r="A34" s="41" t="s">
        <v>201</v>
      </c>
      <c r="B34" s="44" t="s">
        <v>185</v>
      </c>
      <c r="C34" s="50">
        <v>24000</v>
      </c>
      <c r="D34" s="51">
        <v>698000</v>
      </c>
      <c r="E34" s="68" t="s">
        <v>184</v>
      </c>
      <c r="F34" s="52">
        <f>D34</f>
        <v>698000</v>
      </c>
      <c r="G34" s="52" t="str">
        <f t="shared" si="3"/>
        <v>Model result</v>
      </c>
      <c r="H34" s="53">
        <v>0</v>
      </c>
    </row>
    <row r="38" spans="1:8" x14ac:dyDescent="0.25">
      <c r="A38" t="s">
        <v>202</v>
      </c>
    </row>
    <row r="39" spans="1:8" x14ac:dyDescent="0.25">
      <c r="A39" t="s">
        <v>203</v>
      </c>
    </row>
    <row r="1048111" spans="2:2" x14ac:dyDescent="0.25">
      <c r="B1048111" t="s">
        <v>174</v>
      </c>
    </row>
  </sheetData>
  <mergeCells count="3">
    <mergeCell ref="C1:D1"/>
    <mergeCell ref="E1:H1"/>
    <mergeCell ref="C2:D2"/>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2CE40-ABD6-4188-981E-7A5C3911BFCF}">
  <dimension ref="A1:G256"/>
  <sheetViews>
    <sheetView zoomScaleNormal="100" workbookViewId="0">
      <selection activeCell="D259" sqref="D259"/>
    </sheetView>
  </sheetViews>
  <sheetFormatPr baseColWidth="10" defaultColWidth="9.140625" defaultRowHeight="15" x14ac:dyDescent="0.25"/>
  <cols>
    <col min="1" max="1" width="10" customWidth="1"/>
    <col min="2" max="2" width="27.28515625" customWidth="1"/>
    <col min="3" max="3" width="33" customWidth="1"/>
    <col min="4" max="4" width="41.5703125" customWidth="1"/>
    <col min="5" max="5" width="23.28515625" customWidth="1"/>
    <col min="6" max="6" width="30.7109375" bestFit="1" customWidth="1"/>
    <col min="7" max="7" width="30" customWidth="1"/>
  </cols>
  <sheetData>
    <row r="1" spans="1:7" x14ac:dyDescent="0.25">
      <c r="A1" s="73" t="s">
        <v>0</v>
      </c>
      <c r="B1" s="79" t="s">
        <v>556</v>
      </c>
      <c r="C1" s="79" t="s">
        <v>557</v>
      </c>
      <c r="D1" s="79" t="s">
        <v>558</v>
      </c>
      <c r="E1" s="79" t="s">
        <v>553</v>
      </c>
      <c r="F1" s="79" t="s">
        <v>554</v>
      </c>
      <c r="G1" s="79" t="s">
        <v>555</v>
      </c>
    </row>
    <row r="2" spans="1:7" x14ac:dyDescent="0.25">
      <c r="A2" s="41">
        <v>11</v>
      </c>
      <c r="B2" s="41" t="s">
        <v>204</v>
      </c>
      <c r="C2" s="41" t="s">
        <v>205</v>
      </c>
      <c r="D2" s="41" t="s">
        <v>299</v>
      </c>
      <c r="E2" s="74">
        <v>1900000000</v>
      </c>
      <c r="F2" s="74">
        <v>1900000000</v>
      </c>
      <c r="G2" s="74">
        <v>1900000000</v>
      </c>
    </row>
    <row r="3" spans="1:7" x14ac:dyDescent="0.25">
      <c r="A3" s="41">
        <v>12</v>
      </c>
      <c r="B3" s="41" t="s">
        <v>204</v>
      </c>
      <c r="C3" s="41" t="s">
        <v>206</v>
      </c>
      <c r="D3" s="41" t="s">
        <v>300</v>
      </c>
      <c r="E3" s="74">
        <v>1400000000</v>
      </c>
      <c r="F3" s="74">
        <v>1400000000</v>
      </c>
      <c r="G3" s="74">
        <v>1400000000</v>
      </c>
    </row>
    <row r="4" spans="1:7" x14ac:dyDescent="0.25">
      <c r="A4" s="41">
        <v>13</v>
      </c>
      <c r="B4" s="41" t="s">
        <v>204</v>
      </c>
      <c r="C4" s="41" t="s">
        <v>207</v>
      </c>
      <c r="D4" s="41" t="s">
        <v>301</v>
      </c>
      <c r="E4" s="74">
        <v>475000000</v>
      </c>
      <c r="F4" s="74">
        <v>475000000</v>
      </c>
      <c r="G4" s="74">
        <v>475000000</v>
      </c>
    </row>
    <row r="5" spans="1:7" x14ac:dyDescent="0.25">
      <c r="A5" s="41">
        <v>14</v>
      </c>
      <c r="B5" s="41" t="s">
        <v>204</v>
      </c>
      <c r="C5" s="41" t="s">
        <v>208</v>
      </c>
      <c r="D5" s="41" t="s">
        <v>302</v>
      </c>
      <c r="E5" s="74">
        <v>100000000</v>
      </c>
      <c r="F5" s="74">
        <v>100000000</v>
      </c>
      <c r="G5" s="74">
        <v>100000000</v>
      </c>
    </row>
    <row r="6" spans="1:7" x14ac:dyDescent="0.25">
      <c r="A6">
        <v>19</v>
      </c>
      <c r="B6" t="s">
        <v>204</v>
      </c>
      <c r="C6" t="s">
        <v>209</v>
      </c>
      <c r="D6" t="s">
        <v>303</v>
      </c>
      <c r="E6" s="75">
        <v>603750</v>
      </c>
      <c r="F6" s="75">
        <f>E6*1.05</f>
        <v>633937.5</v>
      </c>
      <c r="G6" s="75">
        <f>E6</f>
        <v>603750</v>
      </c>
    </row>
    <row r="7" spans="1:7" x14ac:dyDescent="0.25">
      <c r="A7">
        <v>20</v>
      </c>
      <c r="B7" t="s">
        <v>204</v>
      </c>
      <c r="C7" t="s">
        <v>209</v>
      </c>
      <c r="D7" t="s">
        <v>304</v>
      </c>
      <c r="E7" s="75">
        <v>5567000</v>
      </c>
      <c r="F7" s="75">
        <f t="shared" ref="F7:F23" si="0">E7*1.05</f>
        <v>5845350</v>
      </c>
      <c r="G7" s="75">
        <f t="shared" ref="G7:G23" si="1">E7</f>
        <v>5567000</v>
      </c>
    </row>
    <row r="8" spans="1:7" x14ac:dyDescent="0.25">
      <c r="A8">
        <v>21</v>
      </c>
      <c r="B8" t="s">
        <v>204</v>
      </c>
      <c r="C8" t="s">
        <v>209</v>
      </c>
      <c r="D8" t="s">
        <v>305</v>
      </c>
      <c r="E8" s="75">
        <v>3228500</v>
      </c>
      <c r="F8" s="75">
        <f t="shared" si="0"/>
        <v>3389925</v>
      </c>
      <c r="G8" s="75">
        <f t="shared" si="1"/>
        <v>3228500</v>
      </c>
    </row>
    <row r="9" spans="1:7" x14ac:dyDescent="0.25">
      <c r="A9">
        <v>22</v>
      </c>
      <c r="B9" t="s">
        <v>204</v>
      </c>
      <c r="C9" t="s">
        <v>209</v>
      </c>
      <c r="D9" t="s">
        <v>306</v>
      </c>
      <c r="E9" s="75">
        <v>4216912</v>
      </c>
      <c r="F9" s="75">
        <f t="shared" si="0"/>
        <v>4427757.6000000006</v>
      </c>
      <c r="G9" s="75">
        <f t="shared" si="1"/>
        <v>4216912</v>
      </c>
    </row>
    <row r="10" spans="1:7" x14ac:dyDescent="0.25">
      <c r="A10">
        <v>23</v>
      </c>
      <c r="B10" t="s">
        <v>204</v>
      </c>
      <c r="C10" t="s">
        <v>209</v>
      </c>
      <c r="D10" t="s">
        <v>307</v>
      </c>
      <c r="E10" s="75">
        <v>8488406</v>
      </c>
      <c r="F10" s="75">
        <f t="shared" si="0"/>
        <v>8912826.3000000007</v>
      </c>
      <c r="G10" s="75">
        <f t="shared" si="1"/>
        <v>8488406</v>
      </c>
    </row>
    <row r="11" spans="1:7" x14ac:dyDescent="0.25">
      <c r="A11">
        <v>24</v>
      </c>
      <c r="B11" t="s">
        <v>204</v>
      </c>
      <c r="C11" t="s">
        <v>210</v>
      </c>
      <c r="D11" t="s">
        <v>308</v>
      </c>
      <c r="E11" s="75">
        <v>581040</v>
      </c>
      <c r="F11" s="75">
        <f t="shared" si="0"/>
        <v>610092</v>
      </c>
      <c r="G11" s="75">
        <f t="shared" si="1"/>
        <v>581040</v>
      </c>
    </row>
    <row r="12" spans="1:7" x14ac:dyDescent="0.25">
      <c r="A12">
        <v>25</v>
      </c>
      <c r="B12" t="s">
        <v>204</v>
      </c>
      <c r="C12" t="s">
        <v>210</v>
      </c>
      <c r="D12" t="s">
        <v>309</v>
      </c>
      <c r="E12" s="75">
        <v>901800</v>
      </c>
      <c r="F12" s="75">
        <f t="shared" si="0"/>
        <v>946890</v>
      </c>
      <c r="G12" s="75">
        <f t="shared" si="1"/>
        <v>901800</v>
      </c>
    </row>
    <row r="13" spans="1:7" x14ac:dyDescent="0.25">
      <c r="A13">
        <v>26</v>
      </c>
      <c r="B13" t="s">
        <v>204</v>
      </c>
      <c r="C13" t="s">
        <v>210</v>
      </c>
      <c r="D13" t="s">
        <v>310</v>
      </c>
      <c r="E13" s="75">
        <v>4106160</v>
      </c>
      <c r="F13" s="75">
        <f t="shared" si="0"/>
        <v>4311468</v>
      </c>
      <c r="G13" s="75">
        <f t="shared" si="1"/>
        <v>4106160</v>
      </c>
    </row>
    <row r="14" spans="1:7" x14ac:dyDescent="0.25">
      <c r="A14">
        <v>28</v>
      </c>
      <c r="B14" t="s">
        <v>204</v>
      </c>
      <c r="C14" t="s">
        <v>211</v>
      </c>
      <c r="D14" t="s">
        <v>311</v>
      </c>
      <c r="E14" s="75">
        <v>568333000</v>
      </c>
      <c r="F14" s="75">
        <f t="shared" si="0"/>
        <v>596749650</v>
      </c>
      <c r="G14" s="75">
        <f t="shared" si="1"/>
        <v>568333000</v>
      </c>
    </row>
    <row r="15" spans="1:7" x14ac:dyDescent="0.25">
      <c r="A15">
        <v>30</v>
      </c>
      <c r="B15" t="s">
        <v>212</v>
      </c>
      <c r="C15" t="s">
        <v>213</v>
      </c>
      <c r="D15" t="s">
        <v>312</v>
      </c>
      <c r="E15" s="75">
        <v>125000000</v>
      </c>
      <c r="F15" s="75">
        <f t="shared" si="0"/>
        <v>131250000</v>
      </c>
      <c r="G15" s="75">
        <f t="shared" si="1"/>
        <v>125000000</v>
      </c>
    </row>
    <row r="16" spans="1:7" x14ac:dyDescent="0.25">
      <c r="A16">
        <v>31</v>
      </c>
      <c r="B16" t="s">
        <v>204</v>
      </c>
      <c r="C16" t="s">
        <v>214</v>
      </c>
      <c r="D16" t="s">
        <v>313</v>
      </c>
      <c r="E16" s="75">
        <v>23040000</v>
      </c>
      <c r="F16" s="75">
        <f t="shared" si="0"/>
        <v>24192000</v>
      </c>
      <c r="G16" s="75">
        <f t="shared" si="1"/>
        <v>23040000</v>
      </c>
    </row>
    <row r="17" spans="1:7" x14ac:dyDescent="0.25">
      <c r="A17">
        <v>32</v>
      </c>
      <c r="B17" t="s">
        <v>204</v>
      </c>
      <c r="C17" t="s">
        <v>215</v>
      </c>
      <c r="D17" t="s">
        <v>314</v>
      </c>
      <c r="E17" s="75">
        <v>49600000</v>
      </c>
      <c r="F17" s="75">
        <f t="shared" si="0"/>
        <v>52080000</v>
      </c>
      <c r="G17" s="75">
        <f t="shared" si="1"/>
        <v>49600000</v>
      </c>
    </row>
    <row r="18" spans="1:7" x14ac:dyDescent="0.25">
      <c r="A18">
        <v>33</v>
      </c>
      <c r="B18" t="s">
        <v>204</v>
      </c>
      <c r="C18" t="s">
        <v>216</v>
      </c>
      <c r="D18" t="s">
        <v>315</v>
      </c>
      <c r="E18" s="75">
        <v>1862730</v>
      </c>
      <c r="F18" s="75">
        <f t="shared" si="0"/>
        <v>1955866.5</v>
      </c>
      <c r="G18" s="75">
        <f t="shared" si="1"/>
        <v>1862730</v>
      </c>
    </row>
    <row r="19" spans="1:7" x14ac:dyDescent="0.25">
      <c r="A19">
        <v>34</v>
      </c>
      <c r="B19" t="s">
        <v>204</v>
      </c>
      <c r="C19" t="s">
        <v>217</v>
      </c>
      <c r="D19" t="s">
        <v>316</v>
      </c>
      <c r="E19" s="75">
        <v>134000000</v>
      </c>
      <c r="F19" s="75">
        <f t="shared" si="0"/>
        <v>140700000</v>
      </c>
      <c r="G19" s="75">
        <f t="shared" si="1"/>
        <v>134000000</v>
      </c>
    </row>
    <row r="20" spans="1:7" x14ac:dyDescent="0.25">
      <c r="A20">
        <v>36</v>
      </c>
      <c r="B20" t="s">
        <v>204</v>
      </c>
      <c r="C20" t="s">
        <v>218</v>
      </c>
      <c r="D20" t="s">
        <v>317</v>
      </c>
      <c r="E20" s="75">
        <v>670000</v>
      </c>
      <c r="F20" s="75">
        <f t="shared" si="0"/>
        <v>703500</v>
      </c>
      <c r="G20" s="75">
        <f t="shared" si="1"/>
        <v>670000</v>
      </c>
    </row>
    <row r="21" spans="1:7" x14ac:dyDescent="0.25">
      <c r="A21">
        <v>37</v>
      </c>
      <c r="B21" t="s">
        <v>204</v>
      </c>
      <c r="C21" t="s">
        <v>218</v>
      </c>
      <c r="D21" t="s">
        <v>318</v>
      </c>
      <c r="E21" s="75">
        <v>295000</v>
      </c>
      <c r="F21" s="75">
        <f t="shared" si="0"/>
        <v>309750</v>
      </c>
      <c r="G21" s="75">
        <f t="shared" si="1"/>
        <v>295000</v>
      </c>
    </row>
    <row r="22" spans="1:7" x14ac:dyDescent="0.25">
      <c r="A22">
        <v>38</v>
      </c>
      <c r="B22" t="s">
        <v>204</v>
      </c>
      <c r="C22" t="s">
        <v>218</v>
      </c>
      <c r="D22" t="s">
        <v>319</v>
      </c>
      <c r="E22" s="75">
        <v>217500</v>
      </c>
      <c r="F22" s="75">
        <f t="shared" si="0"/>
        <v>228375</v>
      </c>
      <c r="G22" s="75">
        <f t="shared" si="1"/>
        <v>217500</v>
      </c>
    </row>
    <row r="23" spans="1:7" x14ac:dyDescent="0.25">
      <c r="A23">
        <v>39</v>
      </c>
      <c r="B23" t="s">
        <v>204</v>
      </c>
      <c r="C23" t="s">
        <v>218</v>
      </c>
      <c r="D23" t="s">
        <v>320</v>
      </c>
      <c r="E23" s="75">
        <v>182500</v>
      </c>
      <c r="F23" s="75">
        <f t="shared" si="0"/>
        <v>191625</v>
      </c>
      <c r="G23" s="75">
        <f t="shared" si="1"/>
        <v>182500</v>
      </c>
    </row>
    <row r="24" spans="1:7" x14ac:dyDescent="0.25">
      <c r="A24">
        <v>40</v>
      </c>
      <c r="B24" t="s">
        <v>219</v>
      </c>
      <c r="C24" t="s">
        <v>220</v>
      </c>
      <c r="D24" t="s">
        <v>321</v>
      </c>
      <c r="E24" s="75">
        <v>1500</v>
      </c>
      <c r="F24" s="75">
        <v>1900</v>
      </c>
      <c r="G24" s="76">
        <v>1600</v>
      </c>
    </row>
    <row r="25" spans="1:7" x14ac:dyDescent="0.25">
      <c r="A25">
        <v>41</v>
      </c>
      <c r="B25" t="s">
        <v>219</v>
      </c>
      <c r="C25" t="s">
        <v>221</v>
      </c>
      <c r="D25" t="s">
        <v>322</v>
      </c>
      <c r="E25" s="75">
        <v>2600</v>
      </c>
      <c r="F25" s="75">
        <f>ROUND(E25*1.3,-2)</f>
        <v>3400</v>
      </c>
      <c r="G25" s="75">
        <f>ROUND(E25*1.05,-2)</f>
        <v>2700</v>
      </c>
    </row>
    <row r="26" spans="1:7" x14ac:dyDescent="0.25">
      <c r="A26">
        <v>42</v>
      </c>
      <c r="B26" t="s">
        <v>219</v>
      </c>
      <c r="C26" t="s">
        <v>222</v>
      </c>
      <c r="D26" t="s">
        <v>323</v>
      </c>
      <c r="E26" s="75">
        <v>3000</v>
      </c>
      <c r="F26" s="75">
        <f>ROUND(E26*1.3,-2)</f>
        <v>3900</v>
      </c>
      <c r="G26" s="75">
        <f>ROUND(E26*0.95,-2)</f>
        <v>2900</v>
      </c>
    </row>
    <row r="27" spans="1:7" x14ac:dyDescent="0.25">
      <c r="A27">
        <v>43</v>
      </c>
      <c r="B27" t="s">
        <v>212</v>
      </c>
      <c r="C27" t="s">
        <v>223</v>
      </c>
      <c r="D27" t="s">
        <v>324</v>
      </c>
      <c r="E27" s="75">
        <v>1750</v>
      </c>
      <c r="F27" s="75">
        <f>ROUND(E27*1.05,-2)</f>
        <v>1800</v>
      </c>
      <c r="G27" s="75">
        <f>ROUND(E27*0.95, -2)</f>
        <v>1700</v>
      </c>
    </row>
    <row r="28" spans="1:7" x14ac:dyDescent="0.25">
      <c r="A28">
        <v>44</v>
      </c>
      <c r="B28" t="s">
        <v>219</v>
      </c>
      <c r="C28" t="s">
        <v>222</v>
      </c>
      <c r="D28" t="s">
        <v>325</v>
      </c>
      <c r="E28" s="75">
        <v>2700</v>
      </c>
      <c r="F28" s="75">
        <f>ROUND(E28*1.3,-2)</f>
        <v>3500</v>
      </c>
      <c r="G28" s="75">
        <f>ROUND(E28*0.95,-2)</f>
        <v>2600</v>
      </c>
    </row>
    <row r="29" spans="1:7" x14ac:dyDescent="0.25">
      <c r="A29">
        <v>45</v>
      </c>
      <c r="B29" t="s">
        <v>212</v>
      </c>
      <c r="C29" t="s">
        <v>223</v>
      </c>
      <c r="D29" t="s">
        <v>326</v>
      </c>
      <c r="E29" s="75">
        <v>770</v>
      </c>
      <c r="F29" s="75">
        <f>ROUND(E29*1.05,-2)</f>
        <v>800</v>
      </c>
      <c r="G29" s="75">
        <f>ROUND(E29*0.95, -2)</f>
        <v>700</v>
      </c>
    </row>
    <row r="30" spans="1:7" x14ac:dyDescent="0.25">
      <c r="A30">
        <v>46</v>
      </c>
      <c r="B30" t="s">
        <v>219</v>
      </c>
      <c r="C30" t="s">
        <v>221</v>
      </c>
      <c r="D30" t="s">
        <v>327</v>
      </c>
      <c r="E30" s="75">
        <v>1640</v>
      </c>
      <c r="F30" s="75">
        <f>ROUND(E30*1.3,-2)</f>
        <v>2100</v>
      </c>
      <c r="G30" s="75">
        <f>ROUND(E30*1.05,-2)</f>
        <v>1700</v>
      </c>
    </row>
    <row r="31" spans="1:7" x14ac:dyDescent="0.25">
      <c r="A31">
        <v>47</v>
      </c>
      <c r="B31" t="s">
        <v>219</v>
      </c>
      <c r="C31" t="s">
        <v>224</v>
      </c>
      <c r="D31" t="s">
        <v>328</v>
      </c>
      <c r="E31" s="75">
        <v>3000</v>
      </c>
      <c r="F31" s="75">
        <f>ROUND(E31*1.3,-2)</f>
        <v>3900</v>
      </c>
      <c r="G31" s="75">
        <f>ROUND(E31*1.1,-2)</f>
        <v>3300</v>
      </c>
    </row>
    <row r="32" spans="1:7" x14ac:dyDescent="0.25">
      <c r="A32">
        <v>48</v>
      </c>
      <c r="B32" t="s">
        <v>219</v>
      </c>
      <c r="C32" t="s">
        <v>221</v>
      </c>
      <c r="D32" t="s">
        <v>329</v>
      </c>
      <c r="E32" s="75">
        <v>1990</v>
      </c>
      <c r="F32" s="75">
        <f>ROUND(E32*1.3,-2)</f>
        <v>2600</v>
      </c>
      <c r="G32" s="75">
        <f>ROUND(E32*1.05,-2)</f>
        <v>2100</v>
      </c>
    </row>
    <row r="33" spans="1:7" x14ac:dyDescent="0.25">
      <c r="A33">
        <v>49</v>
      </c>
      <c r="B33" t="s">
        <v>219</v>
      </c>
      <c r="C33" t="s">
        <v>225</v>
      </c>
      <c r="D33" t="s">
        <v>330</v>
      </c>
      <c r="E33" s="75">
        <v>4200</v>
      </c>
      <c r="F33" s="75">
        <f>ROUND(E33*1.3,-2)</f>
        <v>5500</v>
      </c>
      <c r="G33" s="75">
        <f>ROUND(E33*1.1,-2)</f>
        <v>4600</v>
      </c>
    </row>
    <row r="34" spans="1:7" x14ac:dyDescent="0.25">
      <c r="A34">
        <v>50</v>
      </c>
      <c r="B34" t="s">
        <v>204</v>
      </c>
      <c r="C34" t="s">
        <v>226</v>
      </c>
      <c r="D34" t="s">
        <v>331</v>
      </c>
      <c r="E34" s="75">
        <v>6700</v>
      </c>
      <c r="F34" s="75">
        <f>ROUND(E34*1.35,-2)</f>
        <v>9000</v>
      </c>
      <c r="G34" s="75">
        <f>ROUND(E34*1.15,-2)</f>
        <v>7700</v>
      </c>
    </row>
    <row r="35" spans="1:7" x14ac:dyDescent="0.25">
      <c r="A35">
        <v>51</v>
      </c>
      <c r="B35" t="s">
        <v>219</v>
      </c>
      <c r="C35" t="s">
        <v>227</v>
      </c>
      <c r="D35" t="s">
        <v>332</v>
      </c>
      <c r="E35" s="75">
        <v>1650</v>
      </c>
      <c r="F35" s="75">
        <f>ROUND(E35*1.3,-2)</f>
        <v>2100</v>
      </c>
      <c r="G35" s="75">
        <f>ROUND(E35*1.05,-2)</f>
        <v>1700</v>
      </c>
    </row>
    <row r="36" spans="1:7" x14ac:dyDescent="0.25">
      <c r="A36">
        <v>52</v>
      </c>
      <c r="B36" t="s">
        <v>219</v>
      </c>
      <c r="C36" t="s">
        <v>227</v>
      </c>
      <c r="D36" t="s">
        <v>333</v>
      </c>
      <c r="E36" s="75">
        <v>1700</v>
      </c>
      <c r="F36" s="75">
        <f>ROUND(E36*1.3,-2)</f>
        <v>2200</v>
      </c>
      <c r="G36" s="75">
        <f>ROUND(E36*1.05,-2)</f>
        <v>1800</v>
      </c>
    </row>
    <row r="37" spans="1:7" x14ac:dyDescent="0.25">
      <c r="A37">
        <v>53</v>
      </c>
      <c r="B37" t="s">
        <v>219</v>
      </c>
      <c r="C37" t="s">
        <v>221</v>
      </c>
      <c r="D37" t="s">
        <v>334</v>
      </c>
      <c r="E37" s="75">
        <v>874</v>
      </c>
      <c r="F37" s="75">
        <f>ROUND(E37*1.3,-2)</f>
        <v>1100</v>
      </c>
      <c r="G37" s="75">
        <f>ROUND(E37*1.05,-2)</f>
        <v>900</v>
      </c>
    </row>
    <row r="38" spans="1:7" x14ac:dyDescent="0.25">
      <c r="A38">
        <v>54</v>
      </c>
      <c r="B38" t="s">
        <v>204</v>
      </c>
      <c r="C38" t="s">
        <v>228</v>
      </c>
      <c r="D38" t="s">
        <v>335</v>
      </c>
      <c r="E38" s="75">
        <v>29000</v>
      </c>
      <c r="F38" s="75">
        <f>ROUND(E38*1.2,-2)</f>
        <v>34800</v>
      </c>
      <c r="G38" s="75">
        <f>ROUND(E38*0.9,-2)</f>
        <v>26100</v>
      </c>
    </row>
    <row r="39" spans="1:7" x14ac:dyDescent="0.25">
      <c r="A39">
        <v>55</v>
      </c>
      <c r="B39" t="s">
        <v>219</v>
      </c>
      <c r="C39" t="s">
        <v>222</v>
      </c>
      <c r="D39" t="s">
        <v>336</v>
      </c>
      <c r="E39" s="75">
        <v>4500</v>
      </c>
      <c r="F39" s="75">
        <f>ROUND(E39*1.3,-2)</f>
        <v>5900</v>
      </c>
      <c r="G39" s="75">
        <f>ROUND(E39*0.95,-2)</f>
        <v>4300</v>
      </c>
    </row>
    <row r="40" spans="1:7" x14ac:dyDescent="0.25">
      <c r="A40">
        <v>56</v>
      </c>
      <c r="B40" t="s">
        <v>212</v>
      </c>
      <c r="C40" t="s">
        <v>223</v>
      </c>
      <c r="D40" t="s">
        <v>337</v>
      </c>
      <c r="E40" s="75">
        <v>2800</v>
      </c>
      <c r="F40" s="75">
        <f>ROUND(E40*1.05,-2)</f>
        <v>2900</v>
      </c>
      <c r="G40" s="75">
        <f>ROUND(E40*0.95, -2)</f>
        <v>2700</v>
      </c>
    </row>
    <row r="41" spans="1:7" x14ac:dyDescent="0.25">
      <c r="A41">
        <v>57</v>
      </c>
      <c r="B41" t="s">
        <v>219</v>
      </c>
      <c r="C41" t="s">
        <v>229</v>
      </c>
      <c r="D41" t="s">
        <v>338</v>
      </c>
      <c r="E41" s="75">
        <v>6000</v>
      </c>
      <c r="F41" s="75">
        <f>ROUND(E41*1.35,-2)</f>
        <v>8100</v>
      </c>
      <c r="G41" s="75">
        <f>ROUND(E41*1.15,-2)</f>
        <v>6900</v>
      </c>
    </row>
    <row r="42" spans="1:7" x14ac:dyDescent="0.25">
      <c r="A42">
        <v>58</v>
      </c>
      <c r="B42" t="s">
        <v>219</v>
      </c>
      <c r="C42" t="s">
        <v>224</v>
      </c>
      <c r="D42" t="s">
        <v>339</v>
      </c>
      <c r="E42" s="75">
        <v>4000</v>
      </c>
      <c r="F42" s="75">
        <f>ROUND(E42*1.3,-2)</f>
        <v>5200</v>
      </c>
      <c r="G42" s="75">
        <f>ROUND(E42*1.1,-2)</f>
        <v>4400</v>
      </c>
    </row>
    <row r="43" spans="1:7" x14ac:dyDescent="0.25">
      <c r="A43">
        <v>59</v>
      </c>
      <c r="B43" t="s">
        <v>219</v>
      </c>
      <c r="C43" t="s">
        <v>221</v>
      </c>
      <c r="D43" t="s">
        <v>340</v>
      </c>
      <c r="E43" s="75">
        <v>1170</v>
      </c>
      <c r="F43" s="75">
        <f>ROUND(E43*1.3,-2)</f>
        <v>1500</v>
      </c>
      <c r="G43" s="75">
        <f>ROUND(E43*1.05,-2)</f>
        <v>1200</v>
      </c>
    </row>
    <row r="44" spans="1:7" x14ac:dyDescent="0.25">
      <c r="A44">
        <v>60</v>
      </c>
      <c r="B44" t="s">
        <v>219</v>
      </c>
      <c r="C44" t="s">
        <v>230</v>
      </c>
      <c r="D44" t="s">
        <v>341</v>
      </c>
      <c r="E44" s="75">
        <v>5500</v>
      </c>
      <c r="F44" s="75">
        <f>ROUND(E44*1.3,-2)</f>
        <v>7200</v>
      </c>
      <c r="G44" s="75">
        <f>ROUND(E44*1.1,-2)</f>
        <v>6100</v>
      </c>
    </row>
    <row r="45" spans="1:7" x14ac:dyDescent="0.25">
      <c r="A45">
        <v>61</v>
      </c>
      <c r="B45" t="s">
        <v>204</v>
      </c>
      <c r="C45" t="s">
        <v>226</v>
      </c>
      <c r="D45" t="s">
        <v>342</v>
      </c>
      <c r="E45" s="75">
        <v>6500</v>
      </c>
      <c r="F45" s="75">
        <f>ROUND(E45*1.35,-2)</f>
        <v>8800</v>
      </c>
      <c r="G45" s="75">
        <f>ROUND(E45*1.15,-2)</f>
        <v>7500</v>
      </c>
    </row>
    <row r="46" spans="1:7" x14ac:dyDescent="0.25">
      <c r="A46">
        <v>62</v>
      </c>
      <c r="B46" t="s">
        <v>212</v>
      </c>
      <c r="C46" t="s">
        <v>223</v>
      </c>
      <c r="D46" t="s">
        <v>343</v>
      </c>
      <c r="E46" s="75">
        <v>1400</v>
      </c>
      <c r="F46" s="75">
        <f>ROUND(E46*1.05,-2)</f>
        <v>1500</v>
      </c>
      <c r="G46" s="75">
        <f>ROUND(E46*0.95, -2)</f>
        <v>1300</v>
      </c>
    </row>
    <row r="47" spans="1:7" x14ac:dyDescent="0.25">
      <c r="A47">
        <v>63</v>
      </c>
      <c r="B47" t="s">
        <v>204</v>
      </c>
      <c r="C47" t="s">
        <v>226</v>
      </c>
      <c r="D47" t="s">
        <v>344</v>
      </c>
      <c r="E47" s="75">
        <v>12500</v>
      </c>
      <c r="F47" s="75">
        <f>ROUND(E47*1.35,-2)</f>
        <v>16900</v>
      </c>
      <c r="G47" s="75">
        <f>ROUND(E47*1.15,-2)</f>
        <v>14400</v>
      </c>
    </row>
    <row r="48" spans="1:7" x14ac:dyDescent="0.25">
      <c r="A48">
        <v>64</v>
      </c>
      <c r="B48" t="s">
        <v>219</v>
      </c>
      <c r="C48" t="s">
        <v>227</v>
      </c>
      <c r="D48" t="s">
        <v>345</v>
      </c>
      <c r="E48" s="75">
        <v>1800</v>
      </c>
      <c r="F48" s="75">
        <f>ROUND(E48*1.3,-2)</f>
        <v>2300</v>
      </c>
      <c r="G48" s="75">
        <f>ROUND(E48*1.05,-2)</f>
        <v>1900</v>
      </c>
    </row>
    <row r="49" spans="1:7" x14ac:dyDescent="0.25">
      <c r="A49">
        <v>65</v>
      </c>
      <c r="B49" t="s">
        <v>219</v>
      </c>
      <c r="C49" t="s">
        <v>227</v>
      </c>
      <c r="D49" t="s">
        <v>346</v>
      </c>
      <c r="E49" s="75">
        <v>1800</v>
      </c>
      <c r="F49" s="75">
        <f>ROUND(E49*1.3,-2)</f>
        <v>2300</v>
      </c>
      <c r="G49" s="75">
        <f>ROUND(E49*1.05,-2)</f>
        <v>1900</v>
      </c>
    </row>
    <row r="50" spans="1:7" x14ac:dyDescent="0.25">
      <c r="A50">
        <v>66</v>
      </c>
      <c r="B50" t="s">
        <v>219</v>
      </c>
      <c r="C50" t="s">
        <v>227</v>
      </c>
      <c r="D50" t="s">
        <v>347</v>
      </c>
      <c r="E50" s="75">
        <v>1750</v>
      </c>
      <c r="F50" s="75">
        <f>ROUND(E50*1.3,-2)</f>
        <v>2300</v>
      </c>
      <c r="G50" s="75">
        <f>ROUND(E50*1.05,-2)</f>
        <v>1800</v>
      </c>
    </row>
    <row r="51" spans="1:7" x14ac:dyDescent="0.25">
      <c r="A51">
        <v>67</v>
      </c>
      <c r="B51" t="s">
        <v>219</v>
      </c>
      <c r="C51" t="s">
        <v>221</v>
      </c>
      <c r="D51" t="s">
        <v>348</v>
      </c>
      <c r="E51" s="75">
        <v>1090</v>
      </c>
      <c r="F51" s="75">
        <f>ROUND(E51*1.3,-2)</f>
        <v>1400</v>
      </c>
      <c r="G51" s="75">
        <f>ROUND(E51*1.05,-2)</f>
        <v>1100</v>
      </c>
    </row>
    <row r="52" spans="1:7" x14ac:dyDescent="0.25">
      <c r="A52">
        <v>68</v>
      </c>
      <c r="B52" t="s">
        <v>204</v>
      </c>
      <c r="C52" t="s">
        <v>228</v>
      </c>
      <c r="D52" t="s">
        <v>349</v>
      </c>
      <c r="E52" s="75">
        <v>34500</v>
      </c>
      <c r="F52" s="75">
        <f>ROUND(E52*1.2,-2)</f>
        <v>41400</v>
      </c>
      <c r="G52" s="75">
        <f>ROUND(E52*0.9,-2)</f>
        <v>31100</v>
      </c>
    </row>
    <row r="53" spans="1:7" x14ac:dyDescent="0.25">
      <c r="A53">
        <v>69</v>
      </c>
      <c r="B53" t="s">
        <v>219</v>
      </c>
      <c r="C53" t="s">
        <v>222</v>
      </c>
      <c r="D53" t="s">
        <v>350</v>
      </c>
      <c r="E53" s="75">
        <v>7500</v>
      </c>
      <c r="F53" s="75">
        <f>ROUND(E53*1.3,-2)</f>
        <v>9800</v>
      </c>
      <c r="G53" s="75">
        <f>ROUND(E53*0.95,-2)</f>
        <v>7100</v>
      </c>
    </row>
    <row r="54" spans="1:7" x14ac:dyDescent="0.25">
      <c r="A54">
        <v>70</v>
      </c>
      <c r="B54" t="s">
        <v>212</v>
      </c>
      <c r="C54" t="s">
        <v>223</v>
      </c>
      <c r="D54" t="s">
        <v>351</v>
      </c>
      <c r="E54" s="75">
        <v>3500</v>
      </c>
      <c r="F54" s="75">
        <f>ROUND(E54*1.05,-2)</f>
        <v>3700</v>
      </c>
      <c r="G54" s="75">
        <f>ROUND(E54*0.95, -2)</f>
        <v>3300</v>
      </c>
    </row>
    <row r="55" spans="1:7" x14ac:dyDescent="0.25">
      <c r="A55">
        <v>71</v>
      </c>
      <c r="B55" t="s">
        <v>219</v>
      </c>
      <c r="C55" t="s">
        <v>222</v>
      </c>
      <c r="D55" t="s">
        <v>352</v>
      </c>
      <c r="E55" s="75">
        <v>5000</v>
      </c>
      <c r="F55" s="75">
        <f>ROUND(E55*1.3,-2)</f>
        <v>6500</v>
      </c>
      <c r="G55" s="75">
        <f>ROUND(E55*0.95,-2)</f>
        <v>4800</v>
      </c>
    </row>
    <row r="56" spans="1:7" x14ac:dyDescent="0.25">
      <c r="A56">
        <v>72</v>
      </c>
      <c r="B56" t="s">
        <v>212</v>
      </c>
      <c r="C56" t="s">
        <v>223</v>
      </c>
      <c r="D56" t="s">
        <v>353</v>
      </c>
      <c r="E56" s="75">
        <v>2100</v>
      </c>
      <c r="F56" s="75">
        <f>ROUND(E56*1.05,-2)</f>
        <v>2200</v>
      </c>
      <c r="G56" s="75">
        <f>ROUND(E56*0.95, -2)</f>
        <v>2000</v>
      </c>
    </row>
    <row r="57" spans="1:7" x14ac:dyDescent="0.25">
      <c r="A57">
        <v>73</v>
      </c>
      <c r="B57" t="s">
        <v>219</v>
      </c>
      <c r="C57" t="s">
        <v>229</v>
      </c>
      <c r="D57" t="s">
        <v>354</v>
      </c>
      <c r="E57" s="75">
        <v>8200</v>
      </c>
      <c r="F57" s="75">
        <f>ROUND(E57*1.35,-2)</f>
        <v>11100</v>
      </c>
      <c r="G57" s="75">
        <f>ROUND(E57*1.15,-2)</f>
        <v>9400</v>
      </c>
    </row>
    <row r="58" spans="1:7" x14ac:dyDescent="0.25">
      <c r="A58">
        <v>74</v>
      </c>
      <c r="B58" t="s">
        <v>219</v>
      </c>
      <c r="C58" t="s">
        <v>224</v>
      </c>
      <c r="D58" t="s">
        <v>355</v>
      </c>
      <c r="E58" s="75">
        <v>4700</v>
      </c>
      <c r="F58" s="75">
        <f>ROUND(E58*1.3,-2)</f>
        <v>6100</v>
      </c>
      <c r="G58" s="75">
        <f>ROUND(E58*1.1,-2)</f>
        <v>5200</v>
      </c>
    </row>
    <row r="59" spans="1:7" x14ac:dyDescent="0.25">
      <c r="A59">
        <v>75</v>
      </c>
      <c r="B59" t="s">
        <v>219</v>
      </c>
      <c r="C59" t="s">
        <v>221</v>
      </c>
      <c r="D59" t="s">
        <v>356</v>
      </c>
      <c r="E59" s="75">
        <v>1650</v>
      </c>
      <c r="F59" s="75">
        <f>ROUND(E59*1.3,-2)</f>
        <v>2100</v>
      </c>
      <c r="G59" s="75">
        <f>ROUND(E59*1.05,-2)</f>
        <v>1700</v>
      </c>
    </row>
    <row r="60" spans="1:7" x14ac:dyDescent="0.25">
      <c r="A60">
        <v>76</v>
      </c>
      <c r="B60" t="s">
        <v>204</v>
      </c>
      <c r="C60" t="s">
        <v>226</v>
      </c>
      <c r="D60" t="s">
        <v>357</v>
      </c>
      <c r="E60" s="75">
        <v>9000</v>
      </c>
      <c r="F60" s="75">
        <f>ROUND(E60*1.35,-2)</f>
        <v>12200</v>
      </c>
      <c r="G60" s="75">
        <f>ROUND(E60*1.15,-2)</f>
        <v>10400</v>
      </c>
    </row>
    <row r="61" spans="1:7" x14ac:dyDescent="0.25">
      <c r="A61">
        <v>77</v>
      </c>
      <c r="B61" t="s">
        <v>219</v>
      </c>
      <c r="C61" t="s">
        <v>227</v>
      </c>
      <c r="D61" t="s">
        <v>358</v>
      </c>
      <c r="E61" s="75">
        <v>1850</v>
      </c>
      <c r="F61" s="75">
        <f>ROUND(E61*1.3,-2)</f>
        <v>2400</v>
      </c>
      <c r="G61" s="75">
        <f>ROUND(E61*1.05,-2)</f>
        <v>1900</v>
      </c>
    </row>
    <row r="62" spans="1:7" x14ac:dyDescent="0.25">
      <c r="A62">
        <v>78</v>
      </c>
      <c r="B62" t="s">
        <v>219</v>
      </c>
      <c r="C62" t="s">
        <v>227</v>
      </c>
      <c r="D62" t="s">
        <v>359</v>
      </c>
      <c r="E62" s="75">
        <v>1800</v>
      </c>
      <c r="F62" s="75">
        <f>ROUND(E62*1.3,-2)</f>
        <v>2300</v>
      </c>
      <c r="G62" s="75">
        <f>ROUND(E62*1.05,-2)</f>
        <v>1900</v>
      </c>
    </row>
    <row r="63" spans="1:7" x14ac:dyDescent="0.25">
      <c r="A63">
        <v>79</v>
      </c>
      <c r="B63" t="s">
        <v>219</v>
      </c>
      <c r="C63" t="s">
        <v>225</v>
      </c>
      <c r="D63" t="s">
        <v>360</v>
      </c>
      <c r="E63" s="75">
        <v>2000</v>
      </c>
      <c r="F63" s="75">
        <f>ROUND(E63*1.3,-2)</f>
        <v>2600</v>
      </c>
      <c r="G63" s="75">
        <f>ROUND(E63*1.1,-2)</f>
        <v>2200</v>
      </c>
    </row>
    <row r="64" spans="1:7" x14ac:dyDescent="0.25">
      <c r="A64">
        <v>80</v>
      </c>
      <c r="B64" t="s">
        <v>219</v>
      </c>
      <c r="C64" t="s">
        <v>227</v>
      </c>
      <c r="D64" t="s">
        <v>361</v>
      </c>
      <c r="E64" s="75">
        <v>1800</v>
      </c>
      <c r="F64" s="75">
        <f>ROUND(E64*1.3,-2)</f>
        <v>2300</v>
      </c>
      <c r="G64" s="75">
        <f>ROUND(E64*1.05,-2)</f>
        <v>1900</v>
      </c>
    </row>
    <row r="65" spans="1:7" x14ac:dyDescent="0.25">
      <c r="A65">
        <v>81</v>
      </c>
      <c r="B65" t="s">
        <v>219</v>
      </c>
      <c r="C65" t="s">
        <v>221</v>
      </c>
      <c r="D65" t="s">
        <v>362</v>
      </c>
      <c r="E65" s="75">
        <v>1510</v>
      </c>
      <c r="F65" s="75">
        <f>ROUND(E65*1.3,-2)</f>
        <v>2000</v>
      </c>
      <c r="G65" s="75">
        <f>ROUND(E65*1.05,-2)</f>
        <v>1600</v>
      </c>
    </row>
    <row r="66" spans="1:7" x14ac:dyDescent="0.25">
      <c r="A66">
        <v>82</v>
      </c>
      <c r="B66" t="s">
        <v>204</v>
      </c>
      <c r="C66" t="s">
        <v>228</v>
      </c>
      <c r="D66" t="s">
        <v>363</v>
      </c>
      <c r="E66" s="75">
        <v>50000</v>
      </c>
      <c r="F66" s="75">
        <f>ROUND(E66*1.2,-2)</f>
        <v>60000</v>
      </c>
      <c r="G66" s="75">
        <f>ROUND(E66*0.9,-2)</f>
        <v>45000</v>
      </c>
    </row>
    <row r="67" spans="1:7" x14ac:dyDescent="0.25">
      <c r="A67">
        <v>83</v>
      </c>
      <c r="B67" t="s">
        <v>219</v>
      </c>
      <c r="C67" t="s">
        <v>222</v>
      </c>
      <c r="D67" t="s">
        <v>364</v>
      </c>
      <c r="E67" s="75">
        <v>9000</v>
      </c>
      <c r="F67" s="75">
        <f>ROUND(E67*1.3,-2)</f>
        <v>11700</v>
      </c>
      <c r="G67" s="75">
        <f>ROUND(E67*0.95,-2)</f>
        <v>8600</v>
      </c>
    </row>
    <row r="68" spans="1:7" x14ac:dyDescent="0.25">
      <c r="A68">
        <v>84</v>
      </c>
      <c r="B68" t="s">
        <v>212</v>
      </c>
      <c r="C68" t="s">
        <v>223</v>
      </c>
      <c r="D68" t="s">
        <v>365</v>
      </c>
      <c r="E68" s="75">
        <v>4760</v>
      </c>
      <c r="F68" s="75">
        <f>ROUND(E68*1.05,-2)</f>
        <v>5000</v>
      </c>
      <c r="G68" s="75">
        <f>ROUND(E68*0.95, -2)</f>
        <v>4500</v>
      </c>
    </row>
    <row r="69" spans="1:7" x14ac:dyDescent="0.25">
      <c r="A69">
        <v>85</v>
      </c>
      <c r="B69" t="s">
        <v>219</v>
      </c>
      <c r="C69" t="s">
        <v>222</v>
      </c>
      <c r="D69" t="s">
        <v>366</v>
      </c>
      <c r="E69" s="75">
        <v>6000</v>
      </c>
      <c r="F69" s="75">
        <f>ROUND(E69*1.3,-2)</f>
        <v>7800</v>
      </c>
      <c r="G69" s="75">
        <f>ROUND(E69*0.95,-2)</f>
        <v>5700</v>
      </c>
    </row>
    <row r="70" spans="1:7" x14ac:dyDescent="0.25">
      <c r="A70">
        <v>86</v>
      </c>
      <c r="B70" t="s">
        <v>219</v>
      </c>
      <c r="C70" t="s">
        <v>229</v>
      </c>
      <c r="D70" t="s">
        <v>367</v>
      </c>
      <c r="E70" s="75">
        <v>12000</v>
      </c>
      <c r="F70" s="75">
        <f>ROUND(E70*1.35,-2)</f>
        <v>16200</v>
      </c>
      <c r="G70" s="75">
        <f>ROUND(E70*1.15,-2)</f>
        <v>13800</v>
      </c>
    </row>
    <row r="71" spans="1:7" x14ac:dyDescent="0.25">
      <c r="A71">
        <v>87</v>
      </c>
      <c r="B71" t="s">
        <v>219</v>
      </c>
      <c r="C71" t="s">
        <v>224</v>
      </c>
      <c r="D71" t="s">
        <v>368</v>
      </c>
      <c r="E71" s="75">
        <v>7000</v>
      </c>
      <c r="F71" s="75">
        <f>ROUND(E71*1.3,-2)</f>
        <v>9100</v>
      </c>
      <c r="G71" s="75">
        <f>ROUND(E71*1.1,-2)</f>
        <v>7700</v>
      </c>
    </row>
    <row r="72" spans="1:7" x14ac:dyDescent="0.25">
      <c r="A72">
        <v>88</v>
      </c>
      <c r="B72" t="s">
        <v>219</v>
      </c>
      <c r="C72" t="s">
        <v>221</v>
      </c>
      <c r="D72" t="s">
        <v>369</v>
      </c>
      <c r="E72" s="75">
        <v>2110</v>
      </c>
      <c r="F72" s="75">
        <f>ROUND(E72*1.3,-2)</f>
        <v>2700</v>
      </c>
      <c r="G72" s="75">
        <f>ROUND(E72*1.05,-2)</f>
        <v>2200</v>
      </c>
    </row>
    <row r="73" spans="1:7" x14ac:dyDescent="0.25">
      <c r="A73">
        <v>89</v>
      </c>
      <c r="B73" t="s">
        <v>204</v>
      </c>
      <c r="C73" t="s">
        <v>226</v>
      </c>
      <c r="D73" t="s">
        <v>370</v>
      </c>
      <c r="E73" s="75">
        <v>8500</v>
      </c>
      <c r="F73" s="75">
        <f>ROUND(E73*1.35,-2)</f>
        <v>11500</v>
      </c>
      <c r="G73" s="75">
        <f>ROUND(E73*1.15,-2)</f>
        <v>9800</v>
      </c>
    </row>
    <row r="74" spans="1:7" x14ac:dyDescent="0.25">
      <c r="A74">
        <v>90</v>
      </c>
      <c r="B74" t="s">
        <v>219</v>
      </c>
      <c r="C74" t="s">
        <v>227</v>
      </c>
      <c r="D74" t="s">
        <v>371</v>
      </c>
      <c r="E74" s="75">
        <v>1950</v>
      </c>
      <c r="F74" s="75">
        <f>ROUND(E74*1.3,-2)</f>
        <v>2500</v>
      </c>
      <c r="G74" s="75">
        <f>ROUND(E74*1.05,-2)</f>
        <v>2000</v>
      </c>
    </row>
    <row r="75" spans="1:7" x14ac:dyDescent="0.25">
      <c r="A75">
        <v>91</v>
      </c>
      <c r="B75" t="s">
        <v>219</v>
      </c>
      <c r="C75" t="s">
        <v>227</v>
      </c>
      <c r="D75" t="s">
        <v>372</v>
      </c>
      <c r="E75" s="75">
        <v>1850</v>
      </c>
      <c r="F75" s="75">
        <f>ROUND(E75*1.3,-2)</f>
        <v>2400</v>
      </c>
      <c r="G75" s="75">
        <f>ROUND(E75*1.05,-2)</f>
        <v>1900</v>
      </c>
    </row>
    <row r="76" spans="1:7" x14ac:dyDescent="0.25">
      <c r="A76">
        <v>92</v>
      </c>
      <c r="B76" t="s">
        <v>219</v>
      </c>
      <c r="C76" t="s">
        <v>227</v>
      </c>
      <c r="D76" t="s">
        <v>373</v>
      </c>
      <c r="E76" s="75">
        <v>1850</v>
      </c>
      <c r="F76" s="75">
        <f>ROUND(E76*1.3,-2)</f>
        <v>2400</v>
      </c>
      <c r="G76" s="75">
        <f>ROUND(E76*1.05,-2)</f>
        <v>1900</v>
      </c>
    </row>
    <row r="77" spans="1:7" x14ac:dyDescent="0.25">
      <c r="A77">
        <v>93</v>
      </c>
      <c r="B77" t="s">
        <v>219</v>
      </c>
      <c r="C77" t="s">
        <v>221</v>
      </c>
      <c r="D77" t="s">
        <v>374</v>
      </c>
      <c r="E77" s="75">
        <v>1720</v>
      </c>
      <c r="F77" s="75">
        <f>ROUND(E77*1.3,-2)</f>
        <v>2200</v>
      </c>
      <c r="G77" s="75">
        <f>ROUND(E77*1.05,-2)</f>
        <v>1800</v>
      </c>
    </row>
    <row r="78" spans="1:7" x14ac:dyDescent="0.25">
      <c r="A78">
        <v>94</v>
      </c>
      <c r="B78" t="s">
        <v>204</v>
      </c>
      <c r="C78" t="s">
        <v>228</v>
      </c>
      <c r="D78" t="s">
        <v>375</v>
      </c>
      <c r="E78" s="75">
        <v>59000</v>
      </c>
      <c r="F78" s="75">
        <f>ROUND(E78*1.2,-2)</f>
        <v>70800</v>
      </c>
      <c r="G78" s="75">
        <f>ROUND(E78*0.9,-2)</f>
        <v>53100</v>
      </c>
    </row>
    <row r="79" spans="1:7" x14ac:dyDescent="0.25">
      <c r="A79">
        <v>95</v>
      </c>
      <c r="B79" t="s">
        <v>219</v>
      </c>
      <c r="C79" t="s">
        <v>222</v>
      </c>
      <c r="D79" t="s">
        <v>376</v>
      </c>
      <c r="E79" s="75">
        <v>18000</v>
      </c>
      <c r="F79" s="75">
        <f>ROUND(E79*1.3,-2)</f>
        <v>23400</v>
      </c>
      <c r="G79" s="75">
        <f>ROUND(E79*0.95,-2)</f>
        <v>17100</v>
      </c>
    </row>
    <row r="80" spans="1:7" x14ac:dyDescent="0.25">
      <c r="A80">
        <v>96</v>
      </c>
      <c r="B80" t="s">
        <v>212</v>
      </c>
      <c r="C80" t="s">
        <v>223</v>
      </c>
      <c r="D80" t="s">
        <v>377</v>
      </c>
      <c r="E80" s="75">
        <v>6120</v>
      </c>
      <c r="F80" s="75">
        <f>ROUND(E80*1.05,-2)</f>
        <v>6400</v>
      </c>
      <c r="G80" s="75">
        <f>ROUND(E80*0.95, -2)</f>
        <v>5800</v>
      </c>
    </row>
    <row r="81" spans="1:7" x14ac:dyDescent="0.25">
      <c r="A81">
        <v>97</v>
      </c>
      <c r="B81" t="s">
        <v>219</v>
      </c>
      <c r="C81" t="s">
        <v>222</v>
      </c>
      <c r="D81" t="s">
        <v>378</v>
      </c>
      <c r="E81" s="75">
        <v>8500</v>
      </c>
      <c r="F81" s="75">
        <f>ROUND(E81*1.3,-2)</f>
        <v>11100</v>
      </c>
      <c r="G81" s="75">
        <f>ROUND(E81*0.95,-2)</f>
        <v>8100</v>
      </c>
    </row>
    <row r="82" spans="1:7" x14ac:dyDescent="0.25">
      <c r="A82">
        <v>98</v>
      </c>
      <c r="B82" t="s">
        <v>212</v>
      </c>
      <c r="C82" t="s">
        <v>223</v>
      </c>
      <c r="D82" t="s">
        <v>379</v>
      </c>
      <c r="E82" s="75">
        <v>4080</v>
      </c>
      <c r="F82" s="75">
        <f>ROUND(E82*1.05,-2)</f>
        <v>4300</v>
      </c>
      <c r="G82" s="75">
        <f>ROUND(E82*0.95, -2)</f>
        <v>3900</v>
      </c>
    </row>
    <row r="83" spans="1:7" x14ac:dyDescent="0.25">
      <c r="A83">
        <v>99</v>
      </c>
      <c r="B83" t="s">
        <v>219</v>
      </c>
      <c r="C83" t="s">
        <v>225</v>
      </c>
      <c r="D83" t="s">
        <v>380</v>
      </c>
      <c r="E83" s="75">
        <v>5000</v>
      </c>
      <c r="F83" s="75">
        <f>ROUND(E83*1.3,-2)</f>
        <v>6500</v>
      </c>
      <c r="G83" s="75">
        <f>ROUND(E83*1.1,-2)</f>
        <v>5500</v>
      </c>
    </row>
    <row r="84" spans="1:7" x14ac:dyDescent="0.25">
      <c r="A84">
        <v>100</v>
      </c>
      <c r="B84" t="s">
        <v>219</v>
      </c>
      <c r="C84" t="s">
        <v>229</v>
      </c>
      <c r="D84" t="s">
        <v>381</v>
      </c>
      <c r="E84" s="75">
        <v>16000</v>
      </c>
      <c r="F84" s="75">
        <f>ROUND(E84*1.35,-2)</f>
        <v>21600</v>
      </c>
      <c r="G84" s="75">
        <f>ROUND(E84*1.15,-2)</f>
        <v>18400</v>
      </c>
    </row>
    <row r="85" spans="1:7" x14ac:dyDescent="0.25">
      <c r="A85">
        <v>101</v>
      </c>
      <c r="B85" t="s">
        <v>219</v>
      </c>
      <c r="C85" t="s">
        <v>224</v>
      </c>
      <c r="D85" t="s">
        <v>382</v>
      </c>
      <c r="E85" s="75">
        <v>9500</v>
      </c>
      <c r="F85" s="75">
        <f>ROUND(E85*1.3,-2)</f>
        <v>12400</v>
      </c>
      <c r="G85" s="75">
        <f>ROUND(E85*1.1,-2)</f>
        <v>10500</v>
      </c>
    </row>
    <row r="86" spans="1:7" x14ac:dyDescent="0.25">
      <c r="A86">
        <v>102</v>
      </c>
      <c r="B86" t="s">
        <v>219</v>
      </c>
      <c r="C86" t="s">
        <v>221</v>
      </c>
      <c r="D86" t="s">
        <v>383</v>
      </c>
      <c r="E86" s="75">
        <v>2470</v>
      </c>
      <c r="F86" s="75">
        <f>ROUND(E86*1.3,-2)</f>
        <v>3200</v>
      </c>
      <c r="G86" s="75">
        <f>ROUND(E86*1.05,-2)</f>
        <v>2600</v>
      </c>
    </row>
    <row r="87" spans="1:7" x14ac:dyDescent="0.25">
      <c r="A87">
        <v>103</v>
      </c>
      <c r="B87" t="s">
        <v>204</v>
      </c>
      <c r="C87" t="s">
        <v>226</v>
      </c>
      <c r="D87" t="s">
        <v>384</v>
      </c>
      <c r="E87" s="75">
        <v>14500</v>
      </c>
      <c r="F87" s="75">
        <f>ROUND(E87*1.35,-2)</f>
        <v>19600</v>
      </c>
      <c r="G87" s="75">
        <f>ROUND(E87*1.15,-2)</f>
        <v>16700</v>
      </c>
    </row>
    <row r="88" spans="1:7" x14ac:dyDescent="0.25">
      <c r="A88">
        <v>104</v>
      </c>
      <c r="B88" t="s">
        <v>219</v>
      </c>
      <c r="C88" t="s">
        <v>227</v>
      </c>
      <c r="D88" t="s">
        <v>385</v>
      </c>
      <c r="E88" s="75">
        <v>2150</v>
      </c>
      <c r="F88" s="75">
        <f>ROUND(E88*1.3,-2)</f>
        <v>2800</v>
      </c>
      <c r="G88" s="75">
        <f>ROUND(E88*1.05,-2)</f>
        <v>2300</v>
      </c>
    </row>
    <row r="89" spans="1:7" x14ac:dyDescent="0.25">
      <c r="A89">
        <v>105</v>
      </c>
      <c r="B89" t="s">
        <v>219</v>
      </c>
      <c r="C89" t="s">
        <v>227</v>
      </c>
      <c r="D89" t="s">
        <v>386</v>
      </c>
      <c r="E89" s="75">
        <v>2100</v>
      </c>
      <c r="F89" s="75">
        <f>ROUND(E89*1.3,-2)</f>
        <v>2700</v>
      </c>
      <c r="G89" s="75">
        <f>ROUND(E89*1.05,-2)</f>
        <v>2200</v>
      </c>
    </row>
    <row r="90" spans="1:7" x14ac:dyDescent="0.25">
      <c r="A90">
        <v>106</v>
      </c>
      <c r="B90" t="s">
        <v>219</v>
      </c>
      <c r="C90" t="s">
        <v>221</v>
      </c>
      <c r="D90" t="s">
        <v>387</v>
      </c>
      <c r="E90" s="75">
        <v>2566</v>
      </c>
      <c r="F90" s="75">
        <f>ROUND(E90*1.3,-2)</f>
        <v>3300</v>
      </c>
      <c r="G90" s="75">
        <f>ROUND(E90*1.05,-2)</f>
        <v>2700</v>
      </c>
    </row>
    <row r="91" spans="1:7" x14ac:dyDescent="0.25">
      <c r="A91">
        <v>107</v>
      </c>
      <c r="B91" t="s">
        <v>204</v>
      </c>
      <c r="C91" t="s">
        <v>228</v>
      </c>
      <c r="D91" t="s">
        <v>388</v>
      </c>
      <c r="E91" s="75">
        <v>80000</v>
      </c>
      <c r="F91" s="75">
        <f>ROUND(E91*1.2,-2)</f>
        <v>96000</v>
      </c>
      <c r="G91" s="75">
        <f>ROUND(E91*0.9,-2)</f>
        <v>72000</v>
      </c>
    </row>
    <row r="92" spans="1:7" x14ac:dyDescent="0.25">
      <c r="A92">
        <v>108</v>
      </c>
      <c r="B92" t="s">
        <v>219</v>
      </c>
      <c r="C92" t="s">
        <v>222</v>
      </c>
      <c r="D92" t="s">
        <v>389</v>
      </c>
      <c r="E92" s="75">
        <v>30000</v>
      </c>
      <c r="F92" s="75">
        <f>ROUND(E92*1.3,-2)</f>
        <v>39000</v>
      </c>
      <c r="G92" s="75">
        <f>ROUND(E92*0.95,-2)</f>
        <v>28500</v>
      </c>
    </row>
    <row r="93" spans="1:7" x14ac:dyDescent="0.25">
      <c r="A93">
        <v>109</v>
      </c>
      <c r="B93" t="s">
        <v>212</v>
      </c>
      <c r="C93" t="s">
        <v>223</v>
      </c>
      <c r="D93" t="s">
        <v>390</v>
      </c>
      <c r="E93" s="75">
        <v>7920</v>
      </c>
      <c r="F93" s="75">
        <f>ROUND(E93*1.05,-2)</f>
        <v>8300</v>
      </c>
      <c r="G93" s="75">
        <f>ROUND(E93*0.95, -2)</f>
        <v>7500</v>
      </c>
    </row>
    <row r="94" spans="1:7" x14ac:dyDescent="0.25">
      <c r="A94">
        <v>110</v>
      </c>
      <c r="B94" t="s">
        <v>219</v>
      </c>
      <c r="C94" t="s">
        <v>229</v>
      </c>
      <c r="D94" t="s">
        <v>391</v>
      </c>
      <c r="E94" s="75">
        <v>17500</v>
      </c>
      <c r="F94" s="75">
        <f>ROUND(E94*1.35,-2)</f>
        <v>23600</v>
      </c>
      <c r="G94" s="75">
        <f>ROUND(E94*1.15,-2)</f>
        <v>20100</v>
      </c>
    </row>
    <row r="95" spans="1:7" x14ac:dyDescent="0.25">
      <c r="A95">
        <v>111</v>
      </c>
      <c r="B95" t="s">
        <v>219</v>
      </c>
      <c r="C95" t="s">
        <v>221</v>
      </c>
      <c r="D95" t="s">
        <v>392</v>
      </c>
      <c r="E95" s="75">
        <v>4010</v>
      </c>
      <c r="F95" s="75">
        <f>ROUND(E95*1.3,-2)</f>
        <v>5200</v>
      </c>
      <c r="G95" s="75">
        <f>ROUND(E95*1.05,-2)</f>
        <v>4200</v>
      </c>
    </row>
    <row r="96" spans="1:7" x14ac:dyDescent="0.25">
      <c r="A96">
        <v>112</v>
      </c>
      <c r="B96" t="s">
        <v>204</v>
      </c>
      <c r="C96" t="s">
        <v>226</v>
      </c>
      <c r="D96" t="s">
        <v>393</v>
      </c>
      <c r="E96" s="75">
        <v>16000</v>
      </c>
      <c r="F96" s="75">
        <f>ROUND(E96*1.35,-2)</f>
        <v>21600</v>
      </c>
      <c r="G96" s="75">
        <f>ROUND(E96*1.15,-2)</f>
        <v>18400</v>
      </c>
    </row>
    <row r="97" spans="1:7" x14ac:dyDescent="0.25">
      <c r="A97">
        <v>113</v>
      </c>
      <c r="B97" t="s">
        <v>204</v>
      </c>
      <c r="C97" t="s">
        <v>226</v>
      </c>
      <c r="D97" t="s">
        <v>394</v>
      </c>
      <c r="E97" s="75">
        <v>30000</v>
      </c>
      <c r="F97" s="75">
        <f>ROUND(E97*1.35,-2)</f>
        <v>40500</v>
      </c>
      <c r="G97" s="75">
        <f>ROUND(E97*1.15,-2)</f>
        <v>34500</v>
      </c>
    </row>
    <row r="98" spans="1:7" x14ac:dyDescent="0.25">
      <c r="A98">
        <v>114</v>
      </c>
      <c r="B98" t="s">
        <v>219</v>
      </c>
      <c r="C98" t="s">
        <v>227</v>
      </c>
      <c r="D98" t="s">
        <v>395</v>
      </c>
      <c r="E98" s="75">
        <v>6100</v>
      </c>
      <c r="F98" s="75">
        <f>ROUND(E98*1.3,-2)</f>
        <v>7900</v>
      </c>
      <c r="G98" s="75">
        <f>ROUND(E98*1.05,-2)</f>
        <v>6400</v>
      </c>
    </row>
    <row r="99" spans="1:7" x14ac:dyDescent="0.25">
      <c r="A99">
        <v>115</v>
      </c>
      <c r="B99" t="s">
        <v>219</v>
      </c>
      <c r="C99" t="s">
        <v>227</v>
      </c>
      <c r="D99" t="s">
        <v>396</v>
      </c>
      <c r="E99" s="75">
        <v>6300</v>
      </c>
      <c r="F99" s="75">
        <f>ROUND(E99*1.3,-2)</f>
        <v>8200</v>
      </c>
      <c r="G99" s="75">
        <f>ROUND(E99*1.05,-2)</f>
        <v>6600</v>
      </c>
    </row>
    <row r="100" spans="1:7" x14ac:dyDescent="0.25">
      <c r="A100">
        <v>116</v>
      </c>
      <c r="B100" t="s">
        <v>219</v>
      </c>
      <c r="C100" t="s">
        <v>221</v>
      </c>
      <c r="D100" t="s">
        <v>397</v>
      </c>
      <c r="E100" s="75">
        <v>7206</v>
      </c>
      <c r="F100" s="75">
        <f>ROUND(E100*1.3,-2)</f>
        <v>9400</v>
      </c>
      <c r="G100" s="75">
        <f>ROUND(E100*1.05,-2)</f>
        <v>7600</v>
      </c>
    </row>
    <row r="101" spans="1:7" x14ac:dyDescent="0.25">
      <c r="A101">
        <v>117</v>
      </c>
      <c r="B101" t="s">
        <v>204</v>
      </c>
      <c r="C101" t="s">
        <v>228</v>
      </c>
      <c r="D101" t="s">
        <v>398</v>
      </c>
      <c r="E101" s="75">
        <v>140000</v>
      </c>
      <c r="F101" s="75">
        <f>ROUND(E101*1.2,-2)</f>
        <v>168000</v>
      </c>
      <c r="G101" s="75">
        <f>ROUND(E101*0.9,-2)</f>
        <v>126000</v>
      </c>
    </row>
    <row r="102" spans="1:7" x14ac:dyDescent="0.25">
      <c r="A102">
        <v>118</v>
      </c>
      <c r="B102" t="s">
        <v>219</v>
      </c>
      <c r="C102" t="s">
        <v>227</v>
      </c>
      <c r="D102" t="s">
        <v>399</v>
      </c>
      <c r="E102" s="75">
        <v>4200</v>
      </c>
      <c r="F102" s="75">
        <f>ROUND(E102*1.3,-2)</f>
        <v>5500</v>
      </c>
      <c r="G102" s="75">
        <f>ROUND(E102*1.05,-2)</f>
        <v>4400</v>
      </c>
    </row>
    <row r="103" spans="1:7" x14ac:dyDescent="0.25">
      <c r="A103">
        <v>119</v>
      </c>
      <c r="B103" t="s">
        <v>219</v>
      </c>
      <c r="C103" t="s">
        <v>222</v>
      </c>
      <c r="D103" t="s">
        <v>400</v>
      </c>
      <c r="E103" s="75">
        <v>90000</v>
      </c>
      <c r="F103" s="75">
        <f>ROUND(E103*1.3,-2)</f>
        <v>117000</v>
      </c>
      <c r="G103" s="75">
        <f>ROUND(E103*0.95,-2)</f>
        <v>85500</v>
      </c>
    </row>
    <row r="104" spans="1:7" x14ac:dyDescent="0.25">
      <c r="A104">
        <v>120</v>
      </c>
      <c r="B104" t="s">
        <v>212</v>
      </c>
      <c r="C104" t="s">
        <v>223</v>
      </c>
      <c r="D104" t="s">
        <v>401</v>
      </c>
      <c r="E104" s="75">
        <v>32760</v>
      </c>
      <c r="F104" s="75">
        <f>ROUND(E104*1.05,-2)</f>
        <v>34400</v>
      </c>
      <c r="G104" s="75">
        <f>ROUND(E104*0.95, -2)</f>
        <v>31100</v>
      </c>
    </row>
    <row r="105" spans="1:7" x14ac:dyDescent="0.25">
      <c r="A105">
        <v>121</v>
      </c>
      <c r="B105" t="s">
        <v>219</v>
      </c>
      <c r="C105" t="s">
        <v>229</v>
      </c>
      <c r="D105" t="s">
        <v>402</v>
      </c>
      <c r="E105" s="75">
        <v>63000</v>
      </c>
      <c r="F105" s="75">
        <f>ROUND(E105*1.35,-2)</f>
        <v>85100</v>
      </c>
      <c r="G105" s="75">
        <f>ROUND(E105*1.15,-2)</f>
        <v>72500</v>
      </c>
    </row>
    <row r="106" spans="1:7" x14ac:dyDescent="0.25">
      <c r="A106">
        <v>122</v>
      </c>
      <c r="B106" t="s">
        <v>219</v>
      </c>
      <c r="C106" t="s">
        <v>221</v>
      </c>
      <c r="D106" t="s">
        <v>403</v>
      </c>
      <c r="E106" s="75">
        <v>11323</v>
      </c>
      <c r="F106" s="75">
        <f>ROUND(E106*1.3,-2)</f>
        <v>14700</v>
      </c>
      <c r="G106" s="75">
        <f>ROUND(E106*1.05,-2)</f>
        <v>11900</v>
      </c>
    </row>
    <row r="107" spans="1:7" x14ac:dyDescent="0.25">
      <c r="A107">
        <v>123</v>
      </c>
      <c r="B107" t="s">
        <v>204</v>
      </c>
      <c r="C107" t="s">
        <v>226</v>
      </c>
      <c r="D107" t="s">
        <v>404</v>
      </c>
      <c r="E107" s="75">
        <v>130000</v>
      </c>
      <c r="F107" s="75">
        <f>385000/70*78</f>
        <v>429000</v>
      </c>
      <c r="G107" s="75">
        <f>310000/70*78</f>
        <v>345428.57142857142</v>
      </c>
    </row>
    <row r="108" spans="1:7" x14ac:dyDescent="0.25">
      <c r="A108">
        <v>124</v>
      </c>
      <c r="B108" t="s">
        <v>204</v>
      </c>
      <c r="C108" t="s">
        <v>226</v>
      </c>
      <c r="D108" t="s">
        <v>405</v>
      </c>
      <c r="E108" s="75">
        <v>80000</v>
      </c>
      <c r="F108" s="75">
        <f>283000/49*43</f>
        <v>248346.93877551021</v>
      </c>
      <c r="G108" s="75">
        <f>230000/49*43</f>
        <v>201836.73469387754</v>
      </c>
    </row>
    <row r="109" spans="1:7" x14ac:dyDescent="0.25">
      <c r="A109">
        <v>125</v>
      </c>
      <c r="B109" t="s">
        <v>219</v>
      </c>
      <c r="C109" t="s">
        <v>222</v>
      </c>
      <c r="D109" t="s">
        <v>406</v>
      </c>
      <c r="E109" s="75">
        <v>28000</v>
      </c>
      <c r="F109" s="75">
        <f>ROUND(E109*1.3,-2)</f>
        <v>36400</v>
      </c>
      <c r="G109" s="75">
        <f>ROUND(E109*0.95,-2)</f>
        <v>26600</v>
      </c>
    </row>
    <row r="110" spans="1:7" x14ac:dyDescent="0.25">
      <c r="A110">
        <v>126</v>
      </c>
      <c r="B110" t="s">
        <v>212</v>
      </c>
      <c r="C110" t="s">
        <v>223</v>
      </c>
      <c r="D110" t="s">
        <v>407</v>
      </c>
      <c r="E110" s="75">
        <v>15600</v>
      </c>
      <c r="F110" s="75">
        <f>ROUND(E110*1.05,-2)</f>
        <v>16400</v>
      </c>
      <c r="G110" s="75">
        <f>ROUND(E110*0.95, -2)</f>
        <v>14800</v>
      </c>
    </row>
    <row r="111" spans="1:7" x14ac:dyDescent="0.25">
      <c r="A111">
        <v>127</v>
      </c>
      <c r="B111" t="s">
        <v>219</v>
      </c>
      <c r="C111" t="s">
        <v>227</v>
      </c>
      <c r="D111" t="s">
        <v>408</v>
      </c>
      <c r="E111" s="75">
        <v>4000</v>
      </c>
      <c r="F111" s="75">
        <f>ROUND(E111*1.3,-2)</f>
        <v>5200</v>
      </c>
      <c r="G111" s="75">
        <f>ROUND(E111*1.05,-2)</f>
        <v>4200</v>
      </c>
    </row>
    <row r="112" spans="1:7" x14ac:dyDescent="0.25">
      <c r="A112">
        <v>128</v>
      </c>
      <c r="B112" t="s">
        <v>219</v>
      </c>
      <c r="C112" t="s">
        <v>227</v>
      </c>
      <c r="D112" t="s">
        <v>409</v>
      </c>
      <c r="E112" s="75">
        <v>3000</v>
      </c>
      <c r="F112" s="75">
        <f>ROUND(E112*1.3,-2)</f>
        <v>3900</v>
      </c>
      <c r="G112" s="75">
        <f>ROUND(E112*1.05,-2)</f>
        <v>3200</v>
      </c>
    </row>
    <row r="113" spans="1:7" x14ac:dyDescent="0.25">
      <c r="A113">
        <v>129</v>
      </c>
      <c r="B113" t="s">
        <v>219</v>
      </c>
      <c r="C113" t="s">
        <v>221</v>
      </c>
      <c r="D113" t="s">
        <v>410</v>
      </c>
      <c r="E113" s="75">
        <v>12040</v>
      </c>
      <c r="F113" s="75">
        <f>ROUND(E113*1.3,-2)</f>
        <v>15700</v>
      </c>
      <c r="G113" s="75">
        <f>ROUND(E113*1.05,-2)</f>
        <v>12600</v>
      </c>
    </row>
    <row r="114" spans="1:7" x14ac:dyDescent="0.25">
      <c r="A114">
        <v>130</v>
      </c>
      <c r="B114" t="s">
        <v>204</v>
      </c>
      <c r="C114" t="s">
        <v>228</v>
      </c>
      <c r="D114" t="s">
        <v>411</v>
      </c>
      <c r="E114" s="75">
        <v>90000</v>
      </c>
      <c r="F114" s="75">
        <f>ROUND(E114*1.2,-2)</f>
        <v>108000</v>
      </c>
      <c r="G114" s="75">
        <f>ROUND(E114*0.9,-2)</f>
        <v>81000</v>
      </c>
    </row>
    <row r="115" spans="1:7" x14ac:dyDescent="0.25">
      <c r="A115">
        <v>131</v>
      </c>
      <c r="B115" t="s">
        <v>219</v>
      </c>
      <c r="C115" t="s">
        <v>227</v>
      </c>
      <c r="D115" t="s">
        <v>412</v>
      </c>
      <c r="E115" s="75">
        <v>2200</v>
      </c>
      <c r="F115" s="75">
        <f>ROUND(E115*1.3,-2)</f>
        <v>2900</v>
      </c>
      <c r="G115" s="75">
        <f>ROUND(E115*1.05,-2)</f>
        <v>2300</v>
      </c>
    </row>
    <row r="116" spans="1:7" x14ac:dyDescent="0.25">
      <c r="A116">
        <v>132</v>
      </c>
      <c r="B116" t="s">
        <v>219</v>
      </c>
      <c r="C116" t="s">
        <v>222</v>
      </c>
      <c r="D116" t="s">
        <v>413</v>
      </c>
      <c r="E116" s="75">
        <v>25000</v>
      </c>
      <c r="F116" s="75">
        <f>ROUND(E116*1.3,-2)</f>
        <v>32500</v>
      </c>
      <c r="G116" s="75">
        <f>ROUND(E116*0.95,-2)</f>
        <v>23800</v>
      </c>
    </row>
    <row r="117" spans="1:7" x14ac:dyDescent="0.25">
      <c r="A117">
        <v>133</v>
      </c>
      <c r="B117" t="s">
        <v>219</v>
      </c>
      <c r="C117" t="s">
        <v>221</v>
      </c>
      <c r="D117" t="s">
        <v>414</v>
      </c>
      <c r="E117" s="75">
        <v>14120</v>
      </c>
      <c r="F117" s="75">
        <f>ROUND(E117*1.3,-2)</f>
        <v>18400</v>
      </c>
      <c r="G117" s="75">
        <f>ROUND(E117*1.05,-2)</f>
        <v>14800</v>
      </c>
    </row>
    <row r="118" spans="1:7" x14ac:dyDescent="0.25">
      <c r="A118">
        <v>134</v>
      </c>
      <c r="B118" t="s">
        <v>212</v>
      </c>
      <c r="C118" t="s">
        <v>223</v>
      </c>
      <c r="D118" t="s">
        <v>415</v>
      </c>
      <c r="E118" s="75">
        <v>10400</v>
      </c>
      <c r="F118" s="75">
        <f>ROUND(E118*1.05,-2)</f>
        <v>10900</v>
      </c>
      <c r="G118" s="75">
        <f>ROUND(E118*0.95, -2)</f>
        <v>9900</v>
      </c>
    </row>
    <row r="119" spans="1:7" x14ac:dyDescent="0.25">
      <c r="A119">
        <v>135</v>
      </c>
      <c r="B119" t="s">
        <v>219</v>
      </c>
      <c r="C119" t="s">
        <v>229</v>
      </c>
      <c r="D119" t="s">
        <v>416</v>
      </c>
      <c r="E119" s="75">
        <v>32000</v>
      </c>
      <c r="F119" s="75">
        <f>ROUND(E119*1.35,-2)</f>
        <v>43200</v>
      </c>
      <c r="G119" s="75">
        <f>ROUND(E119*1.15,-2)</f>
        <v>36800</v>
      </c>
    </row>
    <row r="120" spans="1:7" x14ac:dyDescent="0.25">
      <c r="A120">
        <v>136</v>
      </c>
      <c r="B120" t="s">
        <v>219</v>
      </c>
      <c r="C120" t="s">
        <v>221</v>
      </c>
      <c r="D120" t="s">
        <v>417</v>
      </c>
      <c r="E120" s="75">
        <v>12680</v>
      </c>
      <c r="F120" s="75">
        <f>ROUND(E120*1.3,-2)</f>
        <v>16500</v>
      </c>
      <c r="G120" s="75">
        <f>ROUND(E120*1.05,-2)</f>
        <v>13300</v>
      </c>
    </row>
    <row r="121" spans="1:7" x14ac:dyDescent="0.25">
      <c r="A121">
        <v>137</v>
      </c>
      <c r="B121" t="s">
        <v>219</v>
      </c>
      <c r="C121" t="s">
        <v>222</v>
      </c>
      <c r="D121" t="s">
        <v>418</v>
      </c>
      <c r="E121" s="75">
        <v>19500</v>
      </c>
      <c r="F121" s="75">
        <f>ROUND(E121*1.3,-2)</f>
        <v>25400</v>
      </c>
      <c r="G121" s="75">
        <f>ROUND(E121*0.95,-2)</f>
        <v>18500</v>
      </c>
    </row>
    <row r="122" spans="1:7" x14ac:dyDescent="0.25">
      <c r="A122">
        <v>138</v>
      </c>
      <c r="B122" t="s">
        <v>219</v>
      </c>
      <c r="C122" t="s">
        <v>229</v>
      </c>
      <c r="D122" t="s">
        <v>419</v>
      </c>
      <c r="E122" s="75">
        <v>22500</v>
      </c>
      <c r="F122" s="75">
        <f>ROUND(E122*1.35,-2)</f>
        <v>30400</v>
      </c>
      <c r="G122" s="75">
        <f>ROUND(E122*1.15,-2)</f>
        <v>25900</v>
      </c>
    </row>
    <row r="123" spans="1:7" x14ac:dyDescent="0.25">
      <c r="A123">
        <v>139</v>
      </c>
      <c r="B123" t="s">
        <v>212</v>
      </c>
      <c r="C123" t="s">
        <v>223</v>
      </c>
      <c r="D123" t="s">
        <v>420</v>
      </c>
      <c r="E123" s="75">
        <v>12350</v>
      </c>
      <c r="F123" s="75">
        <f>ROUND(E123*1.05,-2)</f>
        <v>13000</v>
      </c>
      <c r="G123" s="75">
        <f>ROUND(E123*0.95, -2)</f>
        <v>11700</v>
      </c>
    </row>
    <row r="124" spans="1:7" x14ac:dyDescent="0.25">
      <c r="A124">
        <v>140</v>
      </c>
      <c r="B124" t="s">
        <v>204</v>
      </c>
      <c r="C124" t="s">
        <v>226</v>
      </c>
      <c r="D124" t="s">
        <v>421</v>
      </c>
      <c r="E124" s="75">
        <v>38500</v>
      </c>
      <c r="F124" s="75">
        <v>290000</v>
      </c>
      <c r="G124" s="75">
        <v>190000</v>
      </c>
    </row>
    <row r="125" spans="1:7" x14ac:dyDescent="0.25">
      <c r="A125">
        <v>141</v>
      </c>
      <c r="B125" t="s">
        <v>219</v>
      </c>
      <c r="C125" t="s">
        <v>227</v>
      </c>
      <c r="D125" t="s">
        <v>422</v>
      </c>
      <c r="E125" s="75">
        <v>2400</v>
      </c>
      <c r="F125" s="75">
        <f>ROUND(E125*1.3,-2)</f>
        <v>3100</v>
      </c>
      <c r="G125" s="75">
        <f>ROUND(E125*1.05,-2)</f>
        <v>2500</v>
      </c>
    </row>
    <row r="126" spans="1:7" x14ac:dyDescent="0.25">
      <c r="A126">
        <v>142</v>
      </c>
      <c r="B126" t="s">
        <v>219</v>
      </c>
      <c r="C126" t="s">
        <v>227</v>
      </c>
      <c r="D126" t="s">
        <v>423</v>
      </c>
      <c r="E126" s="75">
        <v>2400</v>
      </c>
      <c r="F126" s="75">
        <f>ROUND(E126*1.3,-2)</f>
        <v>3100</v>
      </c>
      <c r="G126" s="75">
        <f>ROUND(E126*1.05,-2)</f>
        <v>2500</v>
      </c>
    </row>
    <row r="127" spans="1:7" x14ac:dyDescent="0.25">
      <c r="A127">
        <v>143</v>
      </c>
      <c r="B127" t="s">
        <v>219</v>
      </c>
      <c r="C127" t="s">
        <v>221</v>
      </c>
      <c r="D127" t="s">
        <v>424</v>
      </c>
      <c r="E127" s="75">
        <v>3079</v>
      </c>
      <c r="F127" s="75">
        <f>ROUND(E127*1.3,-2)</f>
        <v>4000</v>
      </c>
      <c r="G127" s="75">
        <f>ROUND(E127*1.05,-2)</f>
        <v>3200</v>
      </c>
    </row>
    <row r="128" spans="1:7" x14ac:dyDescent="0.25">
      <c r="A128">
        <v>144</v>
      </c>
      <c r="B128" t="s">
        <v>204</v>
      </c>
      <c r="C128" t="s">
        <v>228</v>
      </c>
      <c r="D128" t="s">
        <v>425</v>
      </c>
      <c r="E128" s="75">
        <v>105000</v>
      </c>
      <c r="F128" s="75">
        <f>ROUND(E128*1.2,-2)</f>
        <v>126000</v>
      </c>
      <c r="G128" s="75">
        <f>ROUND(E128*0.9,-2)</f>
        <v>94500</v>
      </c>
    </row>
    <row r="129" spans="1:7" x14ac:dyDescent="0.25">
      <c r="A129">
        <v>145</v>
      </c>
      <c r="B129" t="s">
        <v>219</v>
      </c>
      <c r="C129" t="s">
        <v>222</v>
      </c>
      <c r="D129" t="s">
        <v>426</v>
      </c>
      <c r="E129" s="75">
        <v>36000</v>
      </c>
      <c r="F129" s="75">
        <f>ROUND(E129*1.3,-2)</f>
        <v>46800</v>
      </c>
      <c r="G129" s="75">
        <f>ROUND(E129*0.95,-2)</f>
        <v>34200</v>
      </c>
    </row>
    <row r="130" spans="1:7" x14ac:dyDescent="0.25">
      <c r="A130">
        <v>146</v>
      </c>
      <c r="B130" t="s">
        <v>212</v>
      </c>
      <c r="C130" t="s">
        <v>223</v>
      </c>
      <c r="D130" t="s">
        <v>427</v>
      </c>
      <c r="E130" s="75">
        <v>9240</v>
      </c>
      <c r="F130" s="75">
        <f>ROUND(E130*1.05,-2)</f>
        <v>9700</v>
      </c>
      <c r="G130" s="75">
        <f>ROUND(E130*0.95, -2)</f>
        <v>8800</v>
      </c>
    </row>
    <row r="131" spans="1:7" x14ac:dyDescent="0.25">
      <c r="A131">
        <v>147</v>
      </c>
      <c r="B131" t="s">
        <v>219</v>
      </c>
      <c r="C131" t="s">
        <v>229</v>
      </c>
      <c r="D131" t="s">
        <v>428</v>
      </c>
      <c r="E131" s="75">
        <v>24000</v>
      </c>
      <c r="F131" s="75">
        <f>ROUND(E131*1.35,-2)</f>
        <v>32400</v>
      </c>
      <c r="G131" s="75">
        <f>ROUND(E131*1.15,-2)</f>
        <v>27600</v>
      </c>
    </row>
    <row r="132" spans="1:7" x14ac:dyDescent="0.25">
      <c r="A132">
        <v>148</v>
      </c>
      <c r="B132" t="s">
        <v>219</v>
      </c>
      <c r="C132" t="s">
        <v>230</v>
      </c>
      <c r="D132" t="s">
        <v>429</v>
      </c>
      <c r="E132" s="75">
        <v>10000</v>
      </c>
      <c r="F132" s="75">
        <f>ROUND(E132*1.3,-2)</f>
        <v>13000</v>
      </c>
      <c r="G132" s="75">
        <f>ROUND(E132*1.1,-2)</f>
        <v>11000</v>
      </c>
    </row>
    <row r="133" spans="1:7" x14ac:dyDescent="0.25">
      <c r="A133">
        <v>149</v>
      </c>
      <c r="B133" t="s">
        <v>219</v>
      </c>
      <c r="C133" t="s">
        <v>221</v>
      </c>
      <c r="D133" t="s">
        <v>430</v>
      </c>
      <c r="E133" s="75">
        <v>4362</v>
      </c>
      <c r="F133" s="75">
        <f>ROUND(E133*1.3,-2)</f>
        <v>5700</v>
      </c>
      <c r="G133" s="75">
        <f>ROUND(E133*1.05,-2)</f>
        <v>4600</v>
      </c>
    </row>
    <row r="134" spans="1:7" x14ac:dyDescent="0.25">
      <c r="A134">
        <v>150</v>
      </c>
      <c r="B134" t="s">
        <v>204</v>
      </c>
      <c r="C134" t="s">
        <v>226</v>
      </c>
      <c r="D134" t="s">
        <v>431</v>
      </c>
      <c r="E134" s="75">
        <v>21000</v>
      </c>
      <c r="F134" s="75">
        <f>ROUND(E134*1.35,-2)</f>
        <v>28400</v>
      </c>
      <c r="G134" s="75">
        <f>ROUND(E134*1.15,-2)</f>
        <v>24200</v>
      </c>
    </row>
    <row r="135" spans="1:7" x14ac:dyDescent="0.25">
      <c r="A135">
        <v>151</v>
      </c>
      <c r="B135" t="s">
        <v>219</v>
      </c>
      <c r="C135" t="s">
        <v>222</v>
      </c>
      <c r="D135" t="s">
        <v>432</v>
      </c>
      <c r="E135" s="75">
        <v>11500</v>
      </c>
      <c r="F135" s="75">
        <f>ROUND(E135*1.3,-2)</f>
        <v>15000</v>
      </c>
      <c r="G135" s="75">
        <f>ROUND(E135*0.95,-2)</f>
        <v>10900</v>
      </c>
    </row>
    <row r="136" spans="1:7" x14ac:dyDescent="0.25">
      <c r="A136">
        <v>152</v>
      </c>
      <c r="B136" t="s">
        <v>219</v>
      </c>
      <c r="C136" t="s">
        <v>227</v>
      </c>
      <c r="D136" t="s">
        <v>433</v>
      </c>
      <c r="E136" s="75">
        <v>3700</v>
      </c>
      <c r="F136" s="75">
        <f>ROUND(E136*1.3,-2)</f>
        <v>4800</v>
      </c>
      <c r="G136" s="75">
        <f>ROUND(E136*1.05,-2)</f>
        <v>3900</v>
      </c>
    </row>
    <row r="137" spans="1:7" x14ac:dyDescent="0.25">
      <c r="A137">
        <v>153</v>
      </c>
      <c r="B137" t="s">
        <v>219</v>
      </c>
      <c r="C137" t="s">
        <v>227</v>
      </c>
      <c r="D137" t="s">
        <v>434</v>
      </c>
      <c r="E137" s="75">
        <v>3500</v>
      </c>
      <c r="F137" s="75">
        <f>ROUND(E137*1.3,-2)</f>
        <v>4600</v>
      </c>
      <c r="G137" s="75">
        <f>ROUND(E137*1.05,-2)</f>
        <v>3700</v>
      </c>
    </row>
    <row r="138" spans="1:7" x14ac:dyDescent="0.25">
      <c r="A138">
        <v>154</v>
      </c>
      <c r="B138" t="s">
        <v>219</v>
      </c>
      <c r="C138" t="s">
        <v>221</v>
      </c>
      <c r="D138" t="s">
        <v>435</v>
      </c>
      <c r="E138" s="75">
        <v>10600</v>
      </c>
      <c r="F138" s="75">
        <f>ROUND(E138*1.3,-2)</f>
        <v>13800</v>
      </c>
      <c r="G138" s="75">
        <f>ROUND(E138*1.05,-2)</f>
        <v>11100</v>
      </c>
    </row>
    <row r="139" spans="1:7" x14ac:dyDescent="0.25">
      <c r="A139">
        <v>155</v>
      </c>
      <c r="B139" t="s">
        <v>204</v>
      </c>
      <c r="C139" t="s">
        <v>228</v>
      </c>
      <c r="D139" t="s">
        <v>436</v>
      </c>
      <c r="E139" s="75">
        <v>125000</v>
      </c>
      <c r="F139" s="75">
        <f>ROUND(E139*1.2,-2)</f>
        <v>150000</v>
      </c>
      <c r="G139" s="75">
        <f>ROUND(E139*0.9,-2)</f>
        <v>112500</v>
      </c>
    </row>
    <row r="140" spans="1:7" x14ac:dyDescent="0.25">
      <c r="A140">
        <v>156</v>
      </c>
      <c r="B140" t="s">
        <v>212</v>
      </c>
      <c r="C140" t="s">
        <v>223</v>
      </c>
      <c r="D140" t="s">
        <v>437</v>
      </c>
      <c r="E140" s="75">
        <v>18270</v>
      </c>
      <c r="F140" s="75">
        <f>ROUND(E140*1.05,-2)</f>
        <v>19200</v>
      </c>
      <c r="G140" s="75">
        <f>ROUND(E140*0.95, -2)</f>
        <v>17400</v>
      </c>
    </row>
    <row r="141" spans="1:7" x14ac:dyDescent="0.25">
      <c r="A141">
        <v>157</v>
      </c>
      <c r="B141" t="s">
        <v>219</v>
      </c>
      <c r="C141" t="s">
        <v>229</v>
      </c>
      <c r="D141" t="s">
        <v>438</v>
      </c>
      <c r="E141" s="75">
        <v>30000</v>
      </c>
      <c r="F141" s="75">
        <f>ROUND(E141*1.35,-2)</f>
        <v>40500</v>
      </c>
      <c r="G141" s="75">
        <f>ROUND(E141*1.15,-2)</f>
        <v>34500</v>
      </c>
    </row>
    <row r="142" spans="1:7" x14ac:dyDescent="0.25">
      <c r="A142">
        <v>158</v>
      </c>
      <c r="B142" t="s">
        <v>219</v>
      </c>
      <c r="C142" t="s">
        <v>229</v>
      </c>
      <c r="D142" t="s">
        <v>439</v>
      </c>
      <c r="E142" s="75">
        <v>26000</v>
      </c>
      <c r="F142" s="75">
        <f>ROUND(E142*1.35,-2)</f>
        <v>35100</v>
      </c>
      <c r="G142" s="75">
        <f>ROUND(E142*1.15,-2)</f>
        <v>29900</v>
      </c>
    </row>
    <row r="143" spans="1:7" x14ac:dyDescent="0.25">
      <c r="A143">
        <v>159</v>
      </c>
      <c r="B143" t="s">
        <v>204</v>
      </c>
      <c r="C143" t="s">
        <v>226</v>
      </c>
      <c r="D143" t="s">
        <v>440</v>
      </c>
      <c r="E143" s="75">
        <v>43000</v>
      </c>
      <c r="F143" s="75">
        <f>290000/35*29</f>
        <v>240285.71428571429</v>
      </c>
      <c r="G143" s="75">
        <f>190000/35*29</f>
        <v>157428.57142857142</v>
      </c>
    </row>
    <row r="144" spans="1:7" x14ac:dyDescent="0.25">
      <c r="A144">
        <v>160</v>
      </c>
      <c r="B144" t="s">
        <v>204</v>
      </c>
      <c r="C144" t="s">
        <v>226</v>
      </c>
      <c r="D144" t="s">
        <v>441</v>
      </c>
      <c r="E144" s="75">
        <v>35000</v>
      </c>
      <c r="F144" s="75">
        <f>290000/35*23</f>
        <v>190571.42857142858</v>
      </c>
      <c r="G144" s="75">
        <f>190000/35*23</f>
        <v>124857.14285714286</v>
      </c>
    </row>
    <row r="145" spans="1:7" x14ac:dyDescent="0.25">
      <c r="A145">
        <v>161</v>
      </c>
      <c r="B145" t="s">
        <v>212</v>
      </c>
      <c r="C145" t="s">
        <v>223</v>
      </c>
      <c r="D145" t="s">
        <v>442</v>
      </c>
      <c r="E145" s="75">
        <v>8580</v>
      </c>
      <c r="F145" s="75">
        <f>ROUND(E145*1.05,-2)</f>
        <v>9000</v>
      </c>
      <c r="G145" s="75">
        <f>ROUND(E145*0.95, -2)</f>
        <v>8200</v>
      </c>
    </row>
    <row r="146" spans="1:7" x14ac:dyDescent="0.25">
      <c r="A146">
        <v>162</v>
      </c>
      <c r="B146" t="s">
        <v>219</v>
      </c>
      <c r="C146" t="s">
        <v>227</v>
      </c>
      <c r="D146" t="s">
        <v>443</v>
      </c>
      <c r="E146" s="75">
        <v>4250</v>
      </c>
      <c r="F146" s="75">
        <f>ROUND(E146*1.3,-2)</f>
        <v>5500</v>
      </c>
      <c r="G146" s="75">
        <f>ROUND(E146*1.05,-2)</f>
        <v>4500</v>
      </c>
    </row>
    <row r="147" spans="1:7" x14ac:dyDescent="0.25">
      <c r="A147">
        <v>163</v>
      </c>
      <c r="B147" t="s">
        <v>219</v>
      </c>
      <c r="C147" t="s">
        <v>227</v>
      </c>
      <c r="D147" t="s">
        <v>444</v>
      </c>
      <c r="E147" s="75">
        <v>3650</v>
      </c>
      <c r="F147" s="75">
        <f>ROUND(E147*1.3,-2)</f>
        <v>4700</v>
      </c>
      <c r="G147" s="75">
        <f>ROUND(E147*1.05,-2)</f>
        <v>3800</v>
      </c>
    </row>
    <row r="148" spans="1:7" x14ac:dyDescent="0.25">
      <c r="A148">
        <v>164</v>
      </c>
      <c r="B148" t="s">
        <v>219</v>
      </c>
      <c r="C148" t="s">
        <v>221</v>
      </c>
      <c r="D148" t="s">
        <v>445</v>
      </c>
      <c r="E148" s="75">
        <v>17571</v>
      </c>
      <c r="F148" s="75">
        <f>ROUND(E148*1.3,-2)</f>
        <v>22800</v>
      </c>
      <c r="G148" s="75">
        <f>ROUND(E148*1.05,-2)</f>
        <v>18400</v>
      </c>
    </row>
    <row r="149" spans="1:7" x14ac:dyDescent="0.25">
      <c r="A149">
        <v>165</v>
      </c>
      <c r="B149" t="s">
        <v>204</v>
      </c>
      <c r="C149" t="s">
        <v>228</v>
      </c>
      <c r="D149" t="s">
        <v>446</v>
      </c>
      <c r="E149" s="75">
        <v>95000</v>
      </c>
      <c r="F149" s="75">
        <f>ROUND(E149*1.2,-2)</f>
        <v>114000</v>
      </c>
      <c r="G149" s="75">
        <f>ROUND(E149*0.9,-2)</f>
        <v>85500</v>
      </c>
    </row>
    <row r="150" spans="1:7" x14ac:dyDescent="0.25">
      <c r="A150">
        <v>166</v>
      </c>
      <c r="B150" t="s">
        <v>219</v>
      </c>
      <c r="C150" t="s">
        <v>227</v>
      </c>
      <c r="D150" t="s">
        <v>447</v>
      </c>
      <c r="E150" s="75">
        <v>2900</v>
      </c>
      <c r="F150" s="75">
        <f>ROUND(E150*1.3,-2)</f>
        <v>3800</v>
      </c>
      <c r="G150" s="75">
        <f>ROUND(E150*1.05,-2)</f>
        <v>3000</v>
      </c>
    </row>
    <row r="151" spans="1:7" x14ac:dyDescent="0.25">
      <c r="A151">
        <v>167</v>
      </c>
      <c r="B151" t="s">
        <v>219</v>
      </c>
      <c r="C151" t="s">
        <v>222</v>
      </c>
      <c r="D151" t="s">
        <v>448</v>
      </c>
      <c r="E151" s="75">
        <v>26500</v>
      </c>
      <c r="F151" s="75">
        <f>ROUND(E151*1.3,-2)</f>
        <v>34500</v>
      </c>
      <c r="G151" s="75">
        <f>ROUND(E151*0.95,-2)</f>
        <v>25200</v>
      </c>
    </row>
    <row r="152" spans="1:7" x14ac:dyDescent="0.25">
      <c r="A152">
        <v>168</v>
      </c>
      <c r="B152" t="s">
        <v>219</v>
      </c>
      <c r="C152" t="s">
        <v>221</v>
      </c>
      <c r="D152" t="s">
        <v>449</v>
      </c>
      <c r="E152" s="75">
        <v>21174</v>
      </c>
      <c r="F152" s="75">
        <f>ROUND(E152*1.3,-2)</f>
        <v>27500</v>
      </c>
      <c r="G152" s="75">
        <f>ROUND(E152*1.05,-2)</f>
        <v>22200</v>
      </c>
    </row>
    <row r="153" spans="1:7" x14ac:dyDescent="0.25">
      <c r="A153">
        <v>169</v>
      </c>
      <c r="B153" t="s">
        <v>219</v>
      </c>
      <c r="C153" t="s">
        <v>229</v>
      </c>
      <c r="D153" t="s">
        <v>450</v>
      </c>
      <c r="E153" s="75">
        <v>35000</v>
      </c>
      <c r="F153" s="75">
        <f>ROUND(E153*1.35,-2)</f>
        <v>47300</v>
      </c>
      <c r="G153" s="75">
        <f>ROUND(E153*1.15,-2)</f>
        <v>40300</v>
      </c>
    </row>
    <row r="154" spans="1:7" x14ac:dyDescent="0.25">
      <c r="A154">
        <v>170</v>
      </c>
      <c r="B154" t="s">
        <v>219</v>
      </c>
      <c r="C154" t="s">
        <v>221</v>
      </c>
      <c r="D154" t="s">
        <v>451</v>
      </c>
      <c r="E154" s="75">
        <v>18400</v>
      </c>
      <c r="F154" s="75">
        <f>ROUND(E154*1.3,-2)</f>
        <v>23900</v>
      </c>
      <c r="G154" s="75">
        <f>ROUND(E154*1.05,-2)</f>
        <v>19300</v>
      </c>
    </row>
    <row r="155" spans="1:7" x14ac:dyDescent="0.25">
      <c r="A155">
        <v>171</v>
      </c>
      <c r="B155" t="s">
        <v>219</v>
      </c>
      <c r="C155" t="s">
        <v>231</v>
      </c>
      <c r="D155" t="s">
        <v>452</v>
      </c>
      <c r="E155" s="75">
        <v>45000</v>
      </c>
      <c r="F155" s="75">
        <f>ROUND(E155*1.35,-2)</f>
        <v>60800</v>
      </c>
      <c r="G155" s="75">
        <f>ROUND(E155*1.15,-2)</f>
        <v>51800</v>
      </c>
    </row>
    <row r="156" spans="1:7" x14ac:dyDescent="0.25">
      <c r="A156">
        <v>172</v>
      </c>
      <c r="B156" t="s">
        <v>212</v>
      </c>
      <c r="C156" t="s">
        <v>223</v>
      </c>
      <c r="D156" t="s">
        <v>453</v>
      </c>
      <c r="E156" s="75">
        <v>16000</v>
      </c>
      <c r="F156" s="75">
        <f>ROUND(E156*1.05,-2)</f>
        <v>16800</v>
      </c>
      <c r="G156" s="75">
        <f>ROUND(E156*0.95, -2)</f>
        <v>15200</v>
      </c>
    </row>
    <row r="157" spans="1:7" x14ac:dyDescent="0.25">
      <c r="A157">
        <v>173</v>
      </c>
      <c r="B157" t="s">
        <v>219</v>
      </c>
      <c r="C157" t="s">
        <v>229</v>
      </c>
      <c r="D157" t="s">
        <v>454</v>
      </c>
      <c r="E157" s="75">
        <v>30000</v>
      </c>
      <c r="F157" s="75">
        <f>ROUND(E157*1.35,-2)</f>
        <v>40500</v>
      </c>
      <c r="G157" s="75">
        <f>ROUND(E157*1.15,-2)</f>
        <v>34500</v>
      </c>
    </row>
    <row r="158" spans="1:7" x14ac:dyDescent="0.25">
      <c r="A158">
        <v>174</v>
      </c>
      <c r="B158" t="s">
        <v>204</v>
      </c>
      <c r="C158" t="s">
        <v>226</v>
      </c>
      <c r="D158" t="s">
        <v>455</v>
      </c>
      <c r="E158" s="75">
        <v>38000</v>
      </c>
      <c r="F158" s="75">
        <v>290000</v>
      </c>
      <c r="G158" s="75">
        <v>190000</v>
      </c>
    </row>
    <row r="159" spans="1:7" x14ac:dyDescent="0.25">
      <c r="A159">
        <v>175</v>
      </c>
      <c r="B159" t="s">
        <v>212</v>
      </c>
      <c r="C159" t="s">
        <v>223</v>
      </c>
      <c r="D159" t="s">
        <v>456</v>
      </c>
      <c r="E159" s="75">
        <v>11050</v>
      </c>
      <c r="F159" s="75">
        <f>ROUND(E159*1.05,-2)</f>
        <v>11600</v>
      </c>
      <c r="G159" s="75">
        <f>ROUND(E159*0.95, -2)</f>
        <v>10500</v>
      </c>
    </row>
    <row r="160" spans="1:7" x14ac:dyDescent="0.25">
      <c r="A160">
        <v>176</v>
      </c>
      <c r="B160" t="s">
        <v>219</v>
      </c>
      <c r="C160" t="s">
        <v>227</v>
      </c>
      <c r="D160" t="s">
        <v>457</v>
      </c>
      <c r="E160" s="75">
        <v>4100</v>
      </c>
      <c r="F160" s="75">
        <f>ROUND(E160*1.3,-2)</f>
        <v>5300</v>
      </c>
      <c r="G160" s="75">
        <f>ROUND(E160*1.05,-2)</f>
        <v>4300</v>
      </c>
    </row>
    <row r="161" spans="1:7" x14ac:dyDescent="0.25">
      <c r="A161">
        <v>177</v>
      </c>
      <c r="B161" t="s">
        <v>219</v>
      </c>
      <c r="C161" t="s">
        <v>227</v>
      </c>
      <c r="D161" t="s">
        <v>458</v>
      </c>
      <c r="E161" s="75">
        <v>3800</v>
      </c>
      <c r="F161" s="75">
        <f>ROUND(E161*1.3,-2)</f>
        <v>4900</v>
      </c>
      <c r="G161" s="75">
        <f>ROUND(E161*1.05,-2)</f>
        <v>4000</v>
      </c>
    </row>
    <row r="162" spans="1:7" x14ac:dyDescent="0.25">
      <c r="A162">
        <v>178</v>
      </c>
      <c r="B162" t="s">
        <v>219</v>
      </c>
      <c r="C162" t="s">
        <v>221</v>
      </c>
      <c r="D162" t="s">
        <v>459</v>
      </c>
      <c r="E162" s="75">
        <v>4596</v>
      </c>
      <c r="F162" s="75">
        <f>ROUND(E162*1.3,-2)</f>
        <v>6000</v>
      </c>
      <c r="G162" s="75">
        <f>ROUND(E162*1.05,-2)</f>
        <v>4800</v>
      </c>
    </row>
    <row r="163" spans="1:7" x14ac:dyDescent="0.25">
      <c r="A163">
        <v>179</v>
      </c>
      <c r="B163" t="s">
        <v>212</v>
      </c>
      <c r="C163" t="s">
        <v>223</v>
      </c>
      <c r="D163" t="s">
        <v>460</v>
      </c>
      <c r="E163" s="75">
        <v>13650</v>
      </c>
      <c r="F163" s="75">
        <f>ROUND(E163*1.05,-2)</f>
        <v>14300</v>
      </c>
      <c r="G163" s="75">
        <f>ROUND(E163*0.95, -2)</f>
        <v>13000</v>
      </c>
    </row>
    <row r="164" spans="1:7" x14ac:dyDescent="0.25">
      <c r="A164">
        <v>180</v>
      </c>
      <c r="B164" t="s">
        <v>219</v>
      </c>
      <c r="C164" t="s">
        <v>229</v>
      </c>
      <c r="D164" t="s">
        <v>461</v>
      </c>
      <c r="E164" s="75">
        <v>40000</v>
      </c>
      <c r="F164" s="75">
        <f>ROUND(E164*1.35,-2)</f>
        <v>54000</v>
      </c>
      <c r="G164" s="75">
        <f>ROUND(E164*1.15,-2)</f>
        <v>46000</v>
      </c>
    </row>
    <row r="165" spans="1:7" x14ac:dyDescent="0.25">
      <c r="A165">
        <v>181</v>
      </c>
      <c r="B165" t="s">
        <v>219</v>
      </c>
      <c r="C165" t="s">
        <v>229</v>
      </c>
      <c r="D165" t="s">
        <v>462</v>
      </c>
      <c r="E165" s="75">
        <v>40000</v>
      </c>
      <c r="F165" s="75">
        <f>ROUND(E165*1.35,-2)</f>
        <v>54000</v>
      </c>
      <c r="G165" s="75">
        <f>ROUND(E165*1.15,-2)</f>
        <v>46000</v>
      </c>
    </row>
    <row r="166" spans="1:7" x14ac:dyDescent="0.25">
      <c r="A166">
        <v>182</v>
      </c>
      <c r="B166" t="s">
        <v>204</v>
      </c>
      <c r="C166" t="s">
        <v>226</v>
      </c>
      <c r="D166" t="s">
        <v>463</v>
      </c>
      <c r="E166" s="75">
        <v>60000</v>
      </c>
      <c r="F166" s="75">
        <f>ROUND(E166*1.35,-2)</f>
        <v>81000</v>
      </c>
      <c r="G166" s="75">
        <f>ROUND(E166*1.15,-2)</f>
        <v>69000</v>
      </c>
    </row>
    <row r="167" spans="1:7" x14ac:dyDescent="0.25">
      <c r="A167">
        <v>183</v>
      </c>
      <c r="B167" t="s">
        <v>212</v>
      </c>
      <c r="C167" t="s">
        <v>223</v>
      </c>
      <c r="D167" t="s">
        <v>464</v>
      </c>
      <c r="E167" s="75">
        <v>6800</v>
      </c>
      <c r="F167" s="75">
        <f>ROUND(E167*1.05,-2)</f>
        <v>7100</v>
      </c>
      <c r="G167" s="75">
        <f>ROUND(E167*0.95, -2)</f>
        <v>6500</v>
      </c>
    </row>
    <row r="168" spans="1:7" x14ac:dyDescent="0.25">
      <c r="A168">
        <v>184</v>
      </c>
      <c r="B168" t="s">
        <v>219</v>
      </c>
      <c r="C168" t="s">
        <v>227</v>
      </c>
      <c r="D168" t="s">
        <v>465</v>
      </c>
      <c r="E168" s="75">
        <v>3200</v>
      </c>
      <c r="F168" s="75">
        <f>ROUND(E168*1.3,-2)</f>
        <v>4200</v>
      </c>
      <c r="G168" s="75">
        <f>ROUND(E168*1.05,-2)</f>
        <v>3400</v>
      </c>
    </row>
    <row r="169" spans="1:7" x14ac:dyDescent="0.25">
      <c r="A169">
        <v>185</v>
      </c>
      <c r="B169" t="s">
        <v>219</v>
      </c>
      <c r="C169" t="s">
        <v>227</v>
      </c>
      <c r="D169" t="s">
        <v>466</v>
      </c>
      <c r="E169" s="75">
        <v>2900</v>
      </c>
      <c r="F169" s="75">
        <f>ROUND(E169*1.3,-2)</f>
        <v>3800</v>
      </c>
      <c r="G169" s="75">
        <f>ROUND(E169*1.05,-2)</f>
        <v>3000</v>
      </c>
    </row>
    <row r="170" spans="1:7" x14ac:dyDescent="0.25">
      <c r="A170">
        <v>186</v>
      </c>
      <c r="B170" t="s">
        <v>219</v>
      </c>
      <c r="C170" t="s">
        <v>221</v>
      </c>
      <c r="D170" t="s">
        <v>467</v>
      </c>
      <c r="E170" s="75">
        <v>4380</v>
      </c>
      <c r="F170" s="75">
        <f>ROUND(E170*1.3,-2)</f>
        <v>5700</v>
      </c>
      <c r="G170" s="75">
        <f>ROUND(E170*1.05,-2)</f>
        <v>4600</v>
      </c>
    </row>
    <row r="171" spans="1:7" x14ac:dyDescent="0.25">
      <c r="A171">
        <v>187</v>
      </c>
      <c r="B171" t="s">
        <v>204</v>
      </c>
      <c r="C171" t="s">
        <v>228</v>
      </c>
      <c r="D171" t="s">
        <v>468</v>
      </c>
      <c r="E171" s="75">
        <v>63000</v>
      </c>
      <c r="F171" s="75">
        <f>ROUND(E171*1.2,-2)</f>
        <v>75600</v>
      </c>
      <c r="G171" s="75">
        <f>ROUND(E171*0.9,-2)</f>
        <v>56700</v>
      </c>
    </row>
    <row r="172" spans="1:7" x14ac:dyDescent="0.25">
      <c r="A172">
        <v>188</v>
      </c>
      <c r="B172" t="s">
        <v>219</v>
      </c>
      <c r="C172" t="s">
        <v>227</v>
      </c>
      <c r="D172" t="s">
        <v>469</v>
      </c>
      <c r="E172" s="75">
        <v>1900</v>
      </c>
      <c r="F172" s="75">
        <f>ROUND(E172*1.3,-2)</f>
        <v>2500</v>
      </c>
      <c r="G172" s="75">
        <f>ROUND(E172*1.05,-2)</f>
        <v>2000</v>
      </c>
    </row>
    <row r="173" spans="1:7" x14ac:dyDescent="0.25">
      <c r="A173">
        <v>189</v>
      </c>
      <c r="B173" t="s">
        <v>219</v>
      </c>
      <c r="C173" t="s">
        <v>222</v>
      </c>
      <c r="D173" t="s">
        <v>470</v>
      </c>
      <c r="E173" s="75">
        <v>47000</v>
      </c>
      <c r="F173" s="75">
        <f>ROUND(E173*1.3,-2)</f>
        <v>61100</v>
      </c>
      <c r="G173" s="75">
        <f>ROUND(E173*0.95,-2)</f>
        <v>44700</v>
      </c>
    </row>
    <row r="174" spans="1:7" x14ac:dyDescent="0.25">
      <c r="A174">
        <v>190</v>
      </c>
      <c r="B174" t="s">
        <v>219</v>
      </c>
      <c r="C174" t="s">
        <v>221</v>
      </c>
      <c r="D174" t="s">
        <v>471</v>
      </c>
      <c r="E174" s="75">
        <v>6087</v>
      </c>
      <c r="F174" s="75">
        <f>ROUND(E174*1.3,-2)</f>
        <v>7900</v>
      </c>
      <c r="G174" s="75">
        <f>ROUND(E174*1.05,-2)</f>
        <v>6400</v>
      </c>
    </row>
    <row r="175" spans="1:7" x14ac:dyDescent="0.25">
      <c r="A175">
        <v>191</v>
      </c>
      <c r="B175" t="s">
        <v>219</v>
      </c>
      <c r="C175" t="s">
        <v>229</v>
      </c>
      <c r="D175" t="s">
        <v>472</v>
      </c>
      <c r="E175" s="75">
        <v>35000</v>
      </c>
      <c r="F175" s="75">
        <f>ROUND(E175*1.35,-2)</f>
        <v>47300</v>
      </c>
      <c r="G175" s="75">
        <f>ROUND(E175*1.15,-2)</f>
        <v>40300</v>
      </c>
    </row>
    <row r="176" spans="1:7" x14ac:dyDescent="0.25">
      <c r="A176">
        <v>192</v>
      </c>
      <c r="B176" t="s">
        <v>219</v>
      </c>
      <c r="C176" t="s">
        <v>221</v>
      </c>
      <c r="D176" t="s">
        <v>473</v>
      </c>
      <c r="E176" s="75">
        <v>4578</v>
      </c>
      <c r="F176" s="75">
        <f>ROUND(E176*1.3,-2)</f>
        <v>6000</v>
      </c>
      <c r="G176" s="75">
        <f>ROUND(E176*1.05,-2)</f>
        <v>4800</v>
      </c>
    </row>
    <row r="177" spans="1:7" x14ac:dyDescent="0.25">
      <c r="A177">
        <v>193</v>
      </c>
      <c r="B177" t="s">
        <v>219</v>
      </c>
      <c r="C177" t="s">
        <v>229</v>
      </c>
      <c r="D177" t="s">
        <v>474</v>
      </c>
      <c r="E177" s="75">
        <v>28000</v>
      </c>
      <c r="F177" s="75">
        <f>ROUND(E177*1.35,-2)</f>
        <v>37800</v>
      </c>
      <c r="G177" s="75">
        <f>ROUND(E177*1.15,-2)</f>
        <v>32200</v>
      </c>
    </row>
    <row r="178" spans="1:7" x14ac:dyDescent="0.25">
      <c r="A178">
        <v>194</v>
      </c>
      <c r="B178" t="s">
        <v>204</v>
      </c>
      <c r="C178" t="s">
        <v>226</v>
      </c>
      <c r="D178" t="s">
        <v>475</v>
      </c>
      <c r="E178" s="75">
        <v>36500</v>
      </c>
      <c r="F178" s="75">
        <f>290000/35*31</f>
        <v>256857.14285714287</v>
      </c>
      <c r="G178" s="75">
        <f>190000/35*31</f>
        <v>168285.71428571429</v>
      </c>
    </row>
    <row r="179" spans="1:7" x14ac:dyDescent="0.25">
      <c r="A179">
        <v>195</v>
      </c>
      <c r="B179" t="s">
        <v>212</v>
      </c>
      <c r="C179" t="s">
        <v>223</v>
      </c>
      <c r="D179" t="s">
        <v>476</v>
      </c>
      <c r="E179" s="75">
        <v>7260</v>
      </c>
      <c r="F179" s="75">
        <f>ROUND(E179*1.05,-2)</f>
        <v>7600</v>
      </c>
      <c r="G179" s="75">
        <f>ROUND(E179*0.95, -2)</f>
        <v>6900</v>
      </c>
    </row>
    <row r="180" spans="1:7" x14ac:dyDescent="0.25">
      <c r="A180">
        <v>196</v>
      </c>
      <c r="B180" t="s">
        <v>219</v>
      </c>
      <c r="C180" t="s">
        <v>227</v>
      </c>
      <c r="D180" t="s">
        <v>477</v>
      </c>
      <c r="E180" s="75">
        <v>5000</v>
      </c>
      <c r="F180" s="75">
        <f>ROUND(E180*1.3,-2)</f>
        <v>6500</v>
      </c>
      <c r="G180" s="75">
        <f>ROUND(E180*1.05,-2)</f>
        <v>5300</v>
      </c>
    </row>
    <row r="181" spans="1:7" x14ac:dyDescent="0.25">
      <c r="A181">
        <v>197</v>
      </c>
      <c r="B181" t="s">
        <v>219</v>
      </c>
      <c r="C181" t="s">
        <v>227</v>
      </c>
      <c r="D181" t="s">
        <v>478</v>
      </c>
      <c r="E181" s="75">
        <v>4800</v>
      </c>
      <c r="F181" s="75">
        <f>ROUND(E181*1.3,-2)</f>
        <v>6200</v>
      </c>
      <c r="G181" s="75">
        <f>ROUND(E181*1.05,-2)</f>
        <v>5000</v>
      </c>
    </row>
    <row r="182" spans="1:7" x14ac:dyDescent="0.25">
      <c r="A182">
        <v>198</v>
      </c>
      <c r="B182" t="s">
        <v>219</v>
      </c>
      <c r="C182" t="s">
        <v>221</v>
      </c>
      <c r="D182" t="s">
        <v>479</v>
      </c>
      <c r="E182" s="75">
        <v>5514</v>
      </c>
      <c r="F182" s="75">
        <f>ROUND(E182*1.3,-2)</f>
        <v>7200</v>
      </c>
      <c r="G182" s="75">
        <f>ROUND(E182*1.05,-2)</f>
        <v>5800</v>
      </c>
    </row>
    <row r="183" spans="1:7" x14ac:dyDescent="0.25">
      <c r="A183">
        <v>199</v>
      </c>
      <c r="B183" t="s">
        <v>204</v>
      </c>
      <c r="C183" t="s">
        <v>228</v>
      </c>
      <c r="D183" t="s">
        <v>480</v>
      </c>
      <c r="E183" s="75">
        <v>100000</v>
      </c>
      <c r="F183" s="75">
        <f>ROUND(E183*1.2,-2)</f>
        <v>120000</v>
      </c>
      <c r="G183" s="75">
        <f>ROUND(E183*0.9,-2)</f>
        <v>90000</v>
      </c>
    </row>
    <row r="184" spans="1:7" x14ac:dyDescent="0.25">
      <c r="A184">
        <v>200</v>
      </c>
      <c r="B184" t="s">
        <v>219</v>
      </c>
      <c r="C184" t="s">
        <v>227</v>
      </c>
      <c r="D184" t="s">
        <v>481</v>
      </c>
      <c r="E184" s="75">
        <v>3800</v>
      </c>
      <c r="F184" s="75">
        <f>ROUND(E184*1.3,-2)</f>
        <v>4900</v>
      </c>
      <c r="G184" s="75">
        <f>ROUND(E184*1.05,-2)</f>
        <v>4000</v>
      </c>
    </row>
    <row r="185" spans="1:7" x14ac:dyDescent="0.25">
      <c r="A185">
        <v>201</v>
      </c>
      <c r="B185" t="s">
        <v>219</v>
      </c>
      <c r="C185" t="s">
        <v>222</v>
      </c>
      <c r="D185" t="s">
        <v>482</v>
      </c>
      <c r="E185" s="75">
        <v>75000</v>
      </c>
      <c r="F185" s="75">
        <f>ROUND(E185*1.3,-2)</f>
        <v>97500</v>
      </c>
      <c r="G185" s="75">
        <f>ROUND(E185*0.95,-2)</f>
        <v>71300</v>
      </c>
    </row>
    <row r="186" spans="1:7" x14ac:dyDescent="0.25">
      <c r="A186">
        <v>202</v>
      </c>
      <c r="B186" t="s">
        <v>212</v>
      </c>
      <c r="C186" t="s">
        <v>223</v>
      </c>
      <c r="D186" t="s">
        <v>483</v>
      </c>
      <c r="E186" s="75">
        <v>17010</v>
      </c>
      <c r="F186" s="75">
        <f>ROUND(E186*1.05,-2)</f>
        <v>17900</v>
      </c>
      <c r="G186" s="75">
        <f>ROUND(E186*0.95, -2)</f>
        <v>16200</v>
      </c>
    </row>
    <row r="187" spans="1:7" x14ac:dyDescent="0.25">
      <c r="A187">
        <v>203</v>
      </c>
      <c r="B187" t="s">
        <v>219</v>
      </c>
      <c r="C187" t="s">
        <v>229</v>
      </c>
      <c r="D187" t="s">
        <v>484</v>
      </c>
      <c r="E187" s="75">
        <v>54000</v>
      </c>
      <c r="F187" s="75">
        <f>ROUND(E187*1.35,-2)</f>
        <v>72900</v>
      </c>
      <c r="G187" s="75">
        <f>ROUND(E187*1.15,-2)</f>
        <v>62100</v>
      </c>
    </row>
    <row r="188" spans="1:7" x14ac:dyDescent="0.25">
      <c r="A188">
        <v>204</v>
      </c>
      <c r="B188" t="s">
        <v>212</v>
      </c>
      <c r="C188" t="s">
        <v>223</v>
      </c>
      <c r="D188" t="s">
        <v>485</v>
      </c>
      <c r="E188" s="75">
        <v>13000</v>
      </c>
      <c r="F188" s="75">
        <f>ROUND(E188*1.05,-2)</f>
        <v>13700</v>
      </c>
      <c r="G188" s="75">
        <f>ROUND(E188*0.95, -2)</f>
        <v>12400</v>
      </c>
    </row>
    <row r="189" spans="1:7" x14ac:dyDescent="0.25">
      <c r="A189">
        <v>205</v>
      </c>
      <c r="B189" t="s">
        <v>219</v>
      </c>
      <c r="C189" t="s">
        <v>229</v>
      </c>
      <c r="D189" t="s">
        <v>486</v>
      </c>
      <c r="E189" s="75">
        <v>47000</v>
      </c>
      <c r="F189" s="75">
        <f>ROUND(E189*1.35,-2)</f>
        <v>63500</v>
      </c>
      <c r="G189" s="75">
        <f>ROUND(E189*1.15,-2)</f>
        <v>54100</v>
      </c>
    </row>
    <row r="190" spans="1:7" x14ac:dyDescent="0.25">
      <c r="A190">
        <v>206</v>
      </c>
      <c r="B190" t="s">
        <v>204</v>
      </c>
      <c r="C190" t="s">
        <v>226</v>
      </c>
      <c r="D190" t="s">
        <v>487</v>
      </c>
      <c r="E190" s="75">
        <v>46000</v>
      </c>
      <c r="F190" s="75">
        <f>290000/35*30</f>
        <v>248571.42857142858</v>
      </c>
      <c r="G190" s="75">
        <f>190000/35*30</f>
        <v>162857.14285714284</v>
      </c>
    </row>
    <row r="191" spans="1:7" x14ac:dyDescent="0.25">
      <c r="A191">
        <v>207</v>
      </c>
      <c r="B191" t="s">
        <v>204</v>
      </c>
      <c r="C191" t="s">
        <v>233</v>
      </c>
      <c r="D191" t="s">
        <v>488</v>
      </c>
      <c r="E191" s="75">
        <v>14250000</v>
      </c>
      <c r="F191" s="75">
        <f t="shared" ref="F191:F200" si="2">ROUND(E191*1.3,-2)</f>
        <v>18525000</v>
      </c>
      <c r="G191" s="75">
        <f>ROUND(E191*1.05,-2)</f>
        <v>14962500</v>
      </c>
    </row>
    <row r="192" spans="1:7" x14ac:dyDescent="0.25">
      <c r="A192">
        <v>208</v>
      </c>
      <c r="B192" t="s">
        <v>204</v>
      </c>
      <c r="C192" t="s">
        <v>234</v>
      </c>
      <c r="D192" t="s">
        <v>489</v>
      </c>
      <c r="E192" s="75">
        <v>11400000</v>
      </c>
      <c r="F192" s="75">
        <f t="shared" si="2"/>
        <v>14820000</v>
      </c>
      <c r="G192" s="75">
        <f>ROUND(E192*1.05,-2)</f>
        <v>11970000</v>
      </c>
    </row>
    <row r="193" spans="1:7" x14ac:dyDescent="0.25">
      <c r="A193">
        <v>209</v>
      </c>
      <c r="B193" t="s">
        <v>204</v>
      </c>
      <c r="C193" t="s">
        <v>235</v>
      </c>
      <c r="D193" t="s">
        <v>490</v>
      </c>
      <c r="E193" s="75">
        <v>14820000</v>
      </c>
      <c r="F193" s="75">
        <f t="shared" si="2"/>
        <v>19266000</v>
      </c>
      <c r="G193" s="75">
        <f>ROUND(E193*1.05,-2)</f>
        <v>15561000</v>
      </c>
    </row>
    <row r="194" spans="1:7" x14ac:dyDescent="0.25">
      <c r="A194">
        <v>210</v>
      </c>
      <c r="B194" t="s">
        <v>219</v>
      </c>
      <c r="C194" t="s">
        <v>236</v>
      </c>
      <c r="D194" t="s">
        <v>491</v>
      </c>
      <c r="E194" s="75">
        <v>3600000</v>
      </c>
      <c r="F194" s="75">
        <f t="shared" si="2"/>
        <v>4680000</v>
      </c>
      <c r="G194" s="75">
        <f>ROUND(E194*0.95,-2)</f>
        <v>3420000</v>
      </c>
    </row>
    <row r="195" spans="1:7" x14ac:dyDescent="0.25">
      <c r="A195">
        <v>211</v>
      </c>
      <c r="B195" t="s">
        <v>219</v>
      </c>
      <c r="C195" t="s">
        <v>221</v>
      </c>
      <c r="D195" t="s">
        <v>492</v>
      </c>
      <c r="E195" s="75">
        <v>280000</v>
      </c>
      <c r="F195" s="75">
        <f t="shared" si="2"/>
        <v>364000</v>
      </c>
      <c r="G195" s="75">
        <f t="shared" ref="G195:G200" si="3">ROUND(E195*1.05,-2)</f>
        <v>294000</v>
      </c>
    </row>
    <row r="196" spans="1:7" x14ac:dyDescent="0.25">
      <c r="A196">
        <v>212</v>
      </c>
      <c r="B196" t="s">
        <v>204</v>
      </c>
      <c r="C196" t="s">
        <v>237</v>
      </c>
      <c r="D196" t="s">
        <v>493</v>
      </c>
      <c r="E196" s="75">
        <v>2970000</v>
      </c>
      <c r="F196" s="75">
        <f t="shared" si="2"/>
        <v>3861000</v>
      </c>
      <c r="G196" s="75">
        <f t="shared" si="3"/>
        <v>3118500</v>
      </c>
    </row>
    <row r="197" spans="1:7" x14ac:dyDescent="0.25">
      <c r="A197">
        <v>213</v>
      </c>
      <c r="B197" t="s">
        <v>204</v>
      </c>
      <c r="C197" t="s">
        <v>238</v>
      </c>
      <c r="D197" t="s">
        <v>494</v>
      </c>
      <c r="E197" s="75">
        <v>7750000</v>
      </c>
      <c r="F197" s="75">
        <f t="shared" si="2"/>
        <v>10075000</v>
      </c>
      <c r="G197" s="75">
        <f t="shared" si="3"/>
        <v>8137500</v>
      </c>
    </row>
    <row r="198" spans="1:7" x14ac:dyDescent="0.25">
      <c r="A198">
        <v>214</v>
      </c>
      <c r="B198" t="s">
        <v>219</v>
      </c>
      <c r="C198" t="s">
        <v>231</v>
      </c>
      <c r="D198" t="s">
        <v>495</v>
      </c>
      <c r="E198" s="75">
        <v>1017000</v>
      </c>
      <c r="F198" s="75">
        <f t="shared" si="2"/>
        <v>1322100</v>
      </c>
      <c r="G198" s="75">
        <f t="shared" si="3"/>
        <v>1067900</v>
      </c>
    </row>
    <row r="199" spans="1:7" x14ac:dyDescent="0.25">
      <c r="A199">
        <v>215</v>
      </c>
      <c r="B199" t="s">
        <v>204</v>
      </c>
      <c r="C199" t="s">
        <v>239</v>
      </c>
      <c r="D199" t="s">
        <v>496</v>
      </c>
      <c r="E199" s="75">
        <v>15120000</v>
      </c>
      <c r="F199" s="75">
        <f t="shared" si="2"/>
        <v>19656000</v>
      </c>
      <c r="G199" s="75">
        <f t="shared" si="3"/>
        <v>15876000</v>
      </c>
    </row>
    <row r="200" spans="1:7" x14ac:dyDescent="0.25">
      <c r="A200">
        <v>216</v>
      </c>
      <c r="B200" t="s">
        <v>219</v>
      </c>
      <c r="C200" t="s">
        <v>227</v>
      </c>
      <c r="D200" t="s">
        <v>497</v>
      </c>
      <c r="E200" s="75">
        <v>250000</v>
      </c>
      <c r="F200" s="75">
        <f t="shared" si="2"/>
        <v>325000</v>
      </c>
      <c r="G200" s="75">
        <f t="shared" si="3"/>
        <v>262500</v>
      </c>
    </row>
    <row r="201" spans="1:7" x14ac:dyDescent="0.25">
      <c r="A201">
        <v>217</v>
      </c>
      <c r="B201" t="s">
        <v>204</v>
      </c>
      <c r="C201" t="s">
        <v>228</v>
      </c>
      <c r="D201" t="s">
        <v>498</v>
      </c>
      <c r="E201" s="75">
        <v>22031400</v>
      </c>
      <c r="F201" s="75">
        <f>ROUND(E201*1.2,-2)</f>
        <v>26437700</v>
      </c>
      <c r="G201" s="75">
        <f>ROUND(E201*0.9,-2)</f>
        <v>19828300</v>
      </c>
    </row>
    <row r="202" spans="1:7" x14ac:dyDescent="0.25">
      <c r="A202">
        <v>218</v>
      </c>
      <c r="B202" t="s">
        <v>219</v>
      </c>
      <c r="C202" t="s">
        <v>236</v>
      </c>
      <c r="D202" t="s">
        <v>499</v>
      </c>
      <c r="E202" s="75">
        <v>4400000</v>
      </c>
      <c r="F202" s="75">
        <f>ROUND(E202*1.3,-2)</f>
        <v>5720000</v>
      </c>
      <c r="G202" s="75">
        <f>ROUND(E202*0.95,-2)</f>
        <v>4180000</v>
      </c>
    </row>
    <row r="203" spans="1:7" x14ac:dyDescent="0.25">
      <c r="A203">
        <v>219</v>
      </c>
      <c r="B203" t="s">
        <v>219</v>
      </c>
      <c r="C203" t="s">
        <v>221</v>
      </c>
      <c r="D203" t="s">
        <v>500</v>
      </c>
      <c r="E203" s="75">
        <v>297500</v>
      </c>
      <c r="F203" s="75">
        <f>ROUND(E203*1.3,-2)</f>
        <v>386800</v>
      </c>
      <c r="G203" s="75">
        <f>ROUND(E203*1.05,-2)</f>
        <v>312400</v>
      </c>
    </row>
    <row r="204" spans="1:7" x14ac:dyDescent="0.25">
      <c r="A204">
        <v>220</v>
      </c>
      <c r="B204" t="s">
        <v>219</v>
      </c>
      <c r="C204" t="s">
        <v>231</v>
      </c>
      <c r="D204" t="s">
        <v>501</v>
      </c>
      <c r="E204" s="75">
        <v>772500</v>
      </c>
      <c r="F204" s="75">
        <f>ROUND(E204*1.3,-2)</f>
        <v>1004300</v>
      </c>
      <c r="G204" s="75">
        <f>ROUND(E204*1.05,-2)</f>
        <v>811100</v>
      </c>
    </row>
    <row r="205" spans="1:7" x14ac:dyDescent="0.25">
      <c r="A205">
        <v>221</v>
      </c>
      <c r="B205" t="s">
        <v>204</v>
      </c>
      <c r="C205" t="s">
        <v>239</v>
      </c>
      <c r="D205" t="s">
        <v>502</v>
      </c>
      <c r="E205" s="75">
        <v>6426000</v>
      </c>
      <c r="F205" s="75">
        <f>ROUND(E205*1.3,-2)</f>
        <v>8353800</v>
      </c>
      <c r="G205" s="75">
        <f>ROUND(E205*1.05,-2)</f>
        <v>6747300</v>
      </c>
    </row>
    <row r="206" spans="1:7" x14ac:dyDescent="0.25">
      <c r="A206">
        <v>222</v>
      </c>
      <c r="B206" t="s">
        <v>219</v>
      </c>
      <c r="C206" t="s">
        <v>240</v>
      </c>
      <c r="D206" t="s">
        <v>503</v>
      </c>
      <c r="E206" s="75">
        <v>2640000</v>
      </c>
      <c r="F206" s="75">
        <f>ROUND(E206*1.3,-2)</f>
        <v>3432000</v>
      </c>
      <c r="G206" s="75">
        <f>ROUND(E206*0.95,-2)</f>
        <v>2508000</v>
      </c>
    </row>
    <row r="207" spans="1:7" x14ac:dyDescent="0.25">
      <c r="A207">
        <v>223</v>
      </c>
      <c r="B207" t="s">
        <v>219</v>
      </c>
      <c r="C207" t="s">
        <v>231</v>
      </c>
      <c r="D207" t="s">
        <v>504</v>
      </c>
      <c r="E207" s="75">
        <v>700500</v>
      </c>
      <c r="F207" s="75">
        <f>ROUND(E207*1.35,-2)</f>
        <v>945700</v>
      </c>
      <c r="G207" s="75">
        <f>ROUND(E207*1.15,-2)</f>
        <v>805600</v>
      </c>
    </row>
    <row r="208" spans="1:7" x14ac:dyDescent="0.25">
      <c r="A208">
        <v>224</v>
      </c>
      <c r="B208" t="s">
        <v>219</v>
      </c>
      <c r="C208" t="s">
        <v>241</v>
      </c>
      <c r="D208" t="s">
        <v>505</v>
      </c>
      <c r="E208" s="75">
        <v>170000</v>
      </c>
      <c r="F208" s="75">
        <f t="shared" ref="F208:F218" si="4">ROUND(E208*1.3,-2)</f>
        <v>221000</v>
      </c>
      <c r="G208" s="75">
        <f t="shared" ref="G208:G218" si="5">ROUND(E208*1.05,-2)</f>
        <v>178500</v>
      </c>
    </row>
    <row r="209" spans="1:7" x14ac:dyDescent="0.25">
      <c r="A209">
        <v>225</v>
      </c>
      <c r="B209" t="s">
        <v>204</v>
      </c>
      <c r="C209" t="s">
        <v>242</v>
      </c>
      <c r="D209" t="s">
        <v>506</v>
      </c>
      <c r="E209" s="75">
        <v>2864500</v>
      </c>
      <c r="F209" s="75">
        <f t="shared" si="4"/>
        <v>3723900</v>
      </c>
      <c r="G209" s="75">
        <f t="shared" si="5"/>
        <v>3007700</v>
      </c>
    </row>
    <row r="210" spans="1:7" x14ac:dyDescent="0.25">
      <c r="A210">
        <v>226</v>
      </c>
      <c r="B210" t="s">
        <v>204</v>
      </c>
      <c r="C210" t="s">
        <v>243</v>
      </c>
      <c r="D210" t="s">
        <v>507</v>
      </c>
      <c r="E210" s="75">
        <v>2931900</v>
      </c>
      <c r="F210" s="75">
        <f t="shared" si="4"/>
        <v>3811500</v>
      </c>
      <c r="G210" s="75">
        <f t="shared" si="5"/>
        <v>3078500</v>
      </c>
    </row>
    <row r="211" spans="1:7" x14ac:dyDescent="0.25">
      <c r="A211">
        <v>227</v>
      </c>
      <c r="B211" t="s">
        <v>219</v>
      </c>
      <c r="C211" t="s">
        <v>231</v>
      </c>
      <c r="D211" t="s">
        <v>508</v>
      </c>
      <c r="E211" s="75">
        <v>505500</v>
      </c>
      <c r="F211" s="75">
        <f t="shared" si="4"/>
        <v>657200</v>
      </c>
      <c r="G211" s="75">
        <f t="shared" si="5"/>
        <v>530800</v>
      </c>
    </row>
    <row r="212" spans="1:7" x14ac:dyDescent="0.25">
      <c r="A212">
        <v>228</v>
      </c>
      <c r="B212" t="s">
        <v>204</v>
      </c>
      <c r="C212" t="s">
        <v>244</v>
      </c>
      <c r="D212" t="s">
        <v>509</v>
      </c>
      <c r="E212" s="75">
        <v>1848000</v>
      </c>
      <c r="F212" s="75">
        <f t="shared" si="4"/>
        <v>2402400</v>
      </c>
      <c r="G212" s="75">
        <f t="shared" si="5"/>
        <v>1940400</v>
      </c>
    </row>
    <row r="213" spans="1:7" x14ac:dyDescent="0.25">
      <c r="A213">
        <v>229</v>
      </c>
      <c r="B213" t="s">
        <v>219</v>
      </c>
      <c r="C213" t="s">
        <v>245</v>
      </c>
      <c r="D213" t="s">
        <v>510</v>
      </c>
      <c r="E213" s="75">
        <v>100000</v>
      </c>
      <c r="F213" s="75">
        <f t="shared" si="4"/>
        <v>130000</v>
      </c>
      <c r="G213" s="75">
        <f t="shared" si="5"/>
        <v>105000</v>
      </c>
    </row>
    <row r="214" spans="1:7" x14ac:dyDescent="0.25">
      <c r="A214">
        <v>231</v>
      </c>
      <c r="B214" t="s">
        <v>219</v>
      </c>
      <c r="C214" t="s">
        <v>246</v>
      </c>
      <c r="D214" t="s">
        <v>511</v>
      </c>
      <c r="E214" s="75">
        <v>100000</v>
      </c>
      <c r="F214" s="75">
        <v>50000</v>
      </c>
      <c r="G214" s="75">
        <v>50000</v>
      </c>
    </row>
    <row r="215" spans="1:7" x14ac:dyDescent="0.25">
      <c r="A215" s="41">
        <v>230</v>
      </c>
      <c r="B215" s="41" t="s">
        <v>219</v>
      </c>
      <c r="C215" s="41"/>
      <c r="D215" s="41" t="s">
        <v>512</v>
      </c>
      <c r="E215" s="75">
        <v>50000</v>
      </c>
      <c r="F215" s="75">
        <f t="shared" si="4"/>
        <v>65000</v>
      </c>
      <c r="G215" s="75">
        <f t="shared" si="5"/>
        <v>52500</v>
      </c>
    </row>
    <row r="216" spans="1:7" x14ac:dyDescent="0.25">
      <c r="A216" s="41">
        <v>232</v>
      </c>
      <c r="B216" s="41" t="s">
        <v>219</v>
      </c>
      <c r="C216" s="41" t="s">
        <v>247</v>
      </c>
      <c r="D216" s="41" t="s">
        <v>513</v>
      </c>
      <c r="E216" s="75">
        <v>120000</v>
      </c>
      <c r="F216" s="75">
        <f t="shared" si="4"/>
        <v>156000</v>
      </c>
      <c r="G216" s="75">
        <f t="shared" si="5"/>
        <v>126000</v>
      </c>
    </row>
    <row r="217" spans="1:7" x14ac:dyDescent="0.25">
      <c r="A217" s="41">
        <v>233</v>
      </c>
      <c r="B217" s="41" t="s">
        <v>219</v>
      </c>
      <c r="C217" s="41" t="s">
        <v>248</v>
      </c>
      <c r="D217" s="41" t="s">
        <v>514</v>
      </c>
      <c r="E217" s="75">
        <v>200000</v>
      </c>
      <c r="F217" s="75">
        <f t="shared" si="4"/>
        <v>260000</v>
      </c>
      <c r="G217" s="75">
        <f t="shared" si="5"/>
        <v>210000</v>
      </c>
    </row>
    <row r="218" spans="1:7" x14ac:dyDescent="0.25">
      <c r="A218" s="41">
        <v>234</v>
      </c>
      <c r="B218" s="41" t="s">
        <v>219</v>
      </c>
      <c r="C218" s="41" t="s">
        <v>249</v>
      </c>
      <c r="D218" s="41" t="s">
        <v>515</v>
      </c>
      <c r="E218" s="75">
        <v>50000</v>
      </c>
      <c r="F218" s="74">
        <f t="shared" si="4"/>
        <v>65000</v>
      </c>
      <c r="G218" s="74">
        <f t="shared" si="5"/>
        <v>52500</v>
      </c>
    </row>
    <row r="219" spans="1:7" x14ac:dyDescent="0.25">
      <c r="A219">
        <v>235</v>
      </c>
      <c r="B219" t="s">
        <v>250</v>
      </c>
      <c r="C219" t="s">
        <v>251</v>
      </c>
      <c r="D219" t="s">
        <v>516</v>
      </c>
      <c r="E219" s="75">
        <v>29004491</v>
      </c>
      <c r="F219" s="75">
        <f t="shared" ref="F219:F238" si="6">ROUND(IF($H219=9,$E219*1.1,$E219),-2)</f>
        <v>29004500</v>
      </c>
      <c r="G219" s="75">
        <f t="shared" ref="G219:G238" si="7">ROUND(IF($H219=9,$E219,$E219*0.9),-2)</f>
        <v>26104000</v>
      </c>
    </row>
    <row r="220" spans="1:7" x14ac:dyDescent="0.25">
      <c r="A220">
        <v>236</v>
      </c>
      <c r="B220" t="s">
        <v>250</v>
      </c>
      <c r="C220" t="s">
        <v>252</v>
      </c>
      <c r="D220" t="s">
        <v>517</v>
      </c>
      <c r="E220" s="75">
        <v>50106791</v>
      </c>
      <c r="F220" s="75">
        <f t="shared" si="6"/>
        <v>50106800</v>
      </c>
      <c r="G220" s="75">
        <f t="shared" si="7"/>
        <v>45096100</v>
      </c>
    </row>
    <row r="221" spans="1:7" x14ac:dyDescent="0.25">
      <c r="A221">
        <v>237</v>
      </c>
      <c r="B221" t="s">
        <v>250</v>
      </c>
      <c r="C221" t="s">
        <v>253</v>
      </c>
      <c r="D221" t="s">
        <v>518</v>
      </c>
      <c r="E221" s="75">
        <v>50997015</v>
      </c>
      <c r="F221" s="75">
        <f t="shared" si="6"/>
        <v>50997000</v>
      </c>
      <c r="G221" s="75">
        <f t="shared" si="7"/>
        <v>45897300</v>
      </c>
    </row>
    <row r="222" spans="1:7" x14ac:dyDescent="0.25">
      <c r="A222">
        <v>238</v>
      </c>
      <c r="B222" t="s">
        <v>250</v>
      </c>
      <c r="C222" t="s">
        <v>254</v>
      </c>
      <c r="D222" t="s">
        <v>519</v>
      </c>
      <c r="E222" s="75">
        <v>254985075</v>
      </c>
      <c r="F222" s="75">
        <f t="shared" si="6"/>
        <v>254985100</v>
      </c>
      <c r="G222" s="75">
        <f t="shared" si="7"/>
        <v>229486600</v>
      </c>
    </row>
    <row r="223" spans="1:7" x14ac:dyDescent="0.25">
      <c r="A223">
        <v>239</v>
      </c>
      <c r="B223" t="s">
        <v>250</v>
      </c>
      <c r="C223" t="s">
        <v>255</v>
      </c>
      <c r="D223" t="s">
        <v>520</v>
      </c>
      <c r="E223" s="75">
        <v>142290000</v>
      </c>
      <c r="F223" s="75">
        <f t="shared" si="6"/>
        <v>142290000</v>
      </c>
      <c r="G223" s="75">
        <f t="shared" si="7"/>
        <v>128061000</v>
      </c>
    </row>
    <row r="224" spans="1:7" x14ac:dyDescent="0.25">
      <c r="A224">
        <v>240</v>
      </c>
      <c r="B224" t="s">
        <v>250</v>
      </c>
      <c r="C224" t="s">
        <v>256</v>
      </c>
      <c r="D224" t="s">
        <v>521</v>
      </c>
      <c r="E224" s="75">
        <v>85117320</v>
      </c>
      <c r="F224" s="75">
        <f t="shared" si="6"/>
        <v>85117300</v>
      </c>
      <c r="G224" s="75">
        <f t="shared" si="7"/>
        <v>76605600</v>
      </c>
    </row>
    <row r="225" spans="1:7" x14ac:dyDescent="0.25">
      <c r="A225">
        <v>241</v>
      </c>
      <c r="B225" t="s">
        <v>250</v>
      </c>
      <c r="C225" t="s">
        <v>257</v>
      </c>
      <c r="D225" t="s">
        <v>522</v>
      </c>
      <c r="E225" s="75">
        <v>31543750</v>
      </c>
      <c r="F225" s="75">
        <f t="shared" si="6"/>
        <v>31543800</v>
      </c>
      <c r="G225" s="75">
        <f t="shared" si="7"/>
        <v>28389400</v>
      </c>
    </row>
    <row r="226" spans="1:7" x14ac:dyDescent="0.25">
      <c r="A226">
        <v>242</v>
      </c>
      <c r="B226" t="s">
        <v>250</v>
      </c>
      <c r="C226" t="s">
        <v>258</v>
      </c>
      <c r="D226" t="s">
        <v>523</v>
      </c>
      <c r="E226" s="75">
        <v>7817700</v>
      </c>
      <c r="F226" s="75">
        <f t="shared" si="6"/>
        <v>7817700</v>
      </c>
      <c r="G226" s="75">
        <f t="shared" si="7"/>
        <v>7035900</v>
      </c>
    </row>
    <row r="227" spans="1:7" x14ac:dyDescent="0.25">
      <c r="A227">
        <v>243</v>
      </c>
      <c r="B227" t="s">
        <v>250</v>
      </c>
      <c r="C227" t="s">
        <v>259</v>
      </c>
      <c r="D227" t="s">
        <v>524</v>
      </c>
      <c r="E227" s="75">
        <v>15759000</v>
      </c>
      <c r="F227" s="75">
        <f t="shared" si="6"/>
        <v>15759000</v>
      </c>
      <c r="G227" s="75">
        <f t="shared" si="7"/>
        <v>14183100</v>
      </c>
    </row>
    <row r="228" spans="1:7" x14ac:dyDescent="0.25">
      <c r="A228">
        <v>244</v>
      </c>
      <c r="B228" t="s">
        <v>250</v>
      </c>
      <c r="C228" t="s">
        <v>260</v>
      </c>
      <c r="D228" t="s">
        <v>525</v>
      </c>
      <c r="E228" s="75">
        <v>30900000</v>
      </c>
      <c r="F228" s="75">
        <f t="shared" si="6"/>
        <v>30900000</v>
      </c>
      <c r="G228" s="75">
        <f t="shared" si="7"/>
        <v>27810000</v>
      </c>
    </row>
    <row r="229" spans="1:7" x14ac:dyDescent="0.25">
      <c r="A229">
        <v>245</v>
      </c>
      <c r="B229" t="s">
        <v>250</v>
      </c>
      <c r="C229" t="s">
        <v>261</v>
      </c>
      <c r="D229" t="s">
        <v>526</v>
      </c>
      <c r="E229" s="75">
        <v>30900000</v>
      </c>
      <c r="F229" s="75">
        <f t="shared" si="6"/>
        <v>30900000</v>
      </c>
      <c r="G229" s="75">
        <f t="shared" si="7"/>
        <v>27810000</v>
      </c>
    </row>
    <row r="230" spans="1:7" x14ac:dyDescent="0.25">
      <c r="A230">
        <v>246</v>
      </c>
      <c r="B230" t="s">
        <v>250</v>
      </c>
      <c r="C230" t="s">
        <v>262</v>
      </c>
      <c r="D230" t="s">
        <v>527</v>
      </c>
      <c r="E230" s="75">
        <v>58929867</v>
      </c>
      <c r="F230" s="75">
        <f t="shared" si="6"/>
        <v>58929900</v>
      </c>
      <c r="G230" s="75">
        <f t="shared" si="7"/>
        <v>53036900</v>
      </c>
    </row>
    <row r="231" spans="1:7" x14ac:dyDescent="0.25">
      <c r="A231">
        <v>247</v>
      </c>
      <c r="B231" t="s">
        <v>250</v>
      </c>
      <c r="C231" t="s">
        <v>263</v>
      </c>
      <c r="D231" t="s">
        <v>528</v>
      </c>
      <c r="E231" s="75">
        <v>43819776</v>
      </c>
      <c r="F231" s="75">
        <f t="shared" si="6"/>
        <v>43819800</v>
      </c>
      <c r="G231" s="75">
        <f t="shared" si="7"/>
        <v>39437800</v>
      </c>
    </row>
    <row r="232" spans="1:7" x14ac:dyDescent="0.25">
      <c r="A232">
        <v>248</v>
      </c>
      <c r="B232" t="s">
        <v>250</v>
      </c>
      <c r="C232" t="s">
        <v>264</v>
      </c>
      <c r="D232" t="s">
        <v>529</v>
      </c>
      <c r="E232" s="75">
        <v>58929867</v>
      </c>
      <c r="F232" s="75">
        <f t="shared" si="6"/>
        <v>58929900</v>
      </c>
      <c r="G232" s="75">
        <f t="shared" si="7"/>
        <v>53036900</v>
      </c>
    </row>
    <row r="233" spans="1:7" x14ac:dyDescent="0.25">
      <c r="A233">
        <v>249</v>
      </c>
      <c r="B233" t="s">
        <v>250</v>
      </c>
      <c r="C233" t="s">
        <v>265</v>
      </c>
      <c r="D233" t="s">
        <v>530</v>
      </c>
      <c r="E233" s="75">
        <v>42292224</v>
      </c>
      <c r="F233" s="75">
        <f t="shared" si="6"/>
        <v>42292200</v>
      </c>
      <c r="G233" s="75">
        <f t="shared" si="7"/>
        <v>38063000</v>
      </c>
    </row>
    <row r="234" spans="1:7" x14ac:dyDescent="0.25">
      <c r="A234">
        <v>250</v>
      </c>
      <c r="B234" t="s">
        <v>250</v>
      </c>
      <c r="C234" t="s">
        <v>266</v>
      </c>
      <c r="D234" t="s">
        <v>531</v>
      </c>
      <c r="E234" s="75">
        <v>58929867</v>
      </c>
      <c r="F234" s="75">
        <f t="shared" si="6"/>
        <v>58929900</v>
      </c>
      <c r="G234" s="75">
        <f t="shared" si="7"/>
        <v>53036900</v>
      </c>
    </row>
    <row r="235" spans="1:7" x14ac:dyDescent="0.25">
      <c r="A235">
        <v>251</v>
      </c>
      <c r="B235" t="s">
        <v>250</v>
      </c>
      <c r="C235" t="s">
        <v>267</v>
      </c>
      <c r="D235" t="s">
        <v>532</v>
      </c>
      <c r="E235" s="75">
        <v>43445376</v>
      </c>
      <c r="F235" s="75">
        <f t="shared" si="6"/>
        <v>43445400</v>
      </c>
      <c r="G235" s="75">
        <f t="shared" si="7"/>
        <v>39100800</v>
      </c>
    </row>
    <row r="236" spans="1:7" x14ac:dyDescent="0.25">
      <c r="A236">
        <v>252</v>
      </c>
      <c r="B236" t="s">
        <v>250</v>
      </c>
      <c r="C236" t="s">
        <v>268</v>
      </c>
      <c r="D236" t="s">
        <v>533</v>
      </c>
      <c r="E236" s="74">
        <v>177706115</v>
      </c>
      <c r="F236" s="75">
        <f t="shared" si="6"/>
        <v>177706100</v>
      </c>
      <c r="G236" s="75">
        <f t="shared" si="7"/>
        <v>159935500</v>
      </c>
    </row>
    <row r="237" spans="1:7" x14ac:dyDescent="0.25">
      <c r="A237">
        <v>253</v>
      </c>
      <c r="B237" t="s">
        <v>250</v>
      </c>
      <c r="C237" t="s">
        <v>269</v>
      </c>
      <c r="D237" t="s">
        <v>534</v>
      </c>
      <c r="E237" s="74">
        <v>84430710</v>
      </c>
      <c r="F237" s="75">
        <f t="shared" si="6"/>
        <v>84430700</v>
      </c>
      <c r="G237" s="75">
        <f t="shared" si="7"/>
        <v>75987600</v>
      </c>
    </row>
    <row r="238" spans="1:7" x14ac:dyDescent="0.25">
      <c r="A238">
        <v>254</v>
      </c>
      <c r="B238" t="s">
        <v>250</v>
      </c>
      <c r="C238" t="s">
        <v>270</v>
      </c>
      <c r="D238" t="s">
        <v>535</v>
      </c>
      <c r="E238" s="74">
        <v>71370000</v>
      </c>
      <c r="F238" s="75">
        <f t="shared" si="6"/>
        <v>71370000</v>
      </c>
      <c r="G238" s="75">
        <f t="shared" si="7"/>
        <v>64233000</v>
      </c>
    </row>
    <row r="239" spans="1:7" x14ac:dyDescent="0.25">
      <c r="A239">
        <v>255</v>
      </c>
      <c r="B239" t="s">
        <v>271</v>
      </c>
      <c r="C239" t="s">
        <v>272</v>
      </c>
      <c r="D239" t="s">
        <v>536</v>
      </c>
      <c r="E239" s="74">
        <v>42693177</v>
      </c>
      <c r="F239" s="75">
        <f>E239*0.8</f>
        <v>34154541.600000001</v>
      </c>
      <c r="G239" s="75">
        <f>ROUND(IF($H239=9,$E239,$E239*0.75),-2)</f>
        <v>32019900</v>
      </c>
    </row>
    <row r="240" spans="1:7" x14ac:dyDescent="0.25">
      <c r="A240">
        <v>256</v>
      </c>
      <c r="B240" t="s">
        <v>271</v>
      </c>
      <c r="C240" t="s">
        <v>273</v>
      </c>
      <c r="D240" t="s">
        <v>537</v>
      </c>
      <c r="E240" s="74">
        <v>22632843.168000001</v>
      </c>
      <c r="F240" s="75">
        <f>E240*0.8</f>
        <v>18106274.534400001</v>
      </c>
      <c r="G240" s="75">
        <f>ROUND(IF($H240=9,$E240,$E240*0.75),-2)</f>
        <v>16974600</v>
      </c>
    </row>
    <row r="241" spans="1:7" x14ac:dyDescent="0.25">
      <c r="A241">
        <v>257</v>
      </c>
      <c r="B241" t="s">
        <v>250</v>
      </c>
      <c r="C241" t="s">
        <v>274</v>
      </c>
      <c r="D241" t="s">
        <v>538</v>
      </c>
      <c r="E241" s="74">
        <f>25162410*0.3</f>
        <v>7548723</v>
      </c>
      <c r="F241" s="75">
        <f>E241*0.8</f>
        <v>6038978.4000000004</v>
      </c>
      <c r="G241" s="75">
        <f>ROUND(IF($H241=9,$E241,$E241*0.75),-2)</f>
        <v>5661500</v>
      </c>
    </row>
    <row r="242" spans="1:7" x14ac:dyDescent="0.25">
      <c r="A242">
        <v>258</v>
      </c>
      <c r="B242" t="s">
        <v>250</v>
      </c>
      <c r="C242" t="s">
        <v>275</v>
      </c>
      <c r="D242" t="s">
        <v>539</v>
      </c>
      <c r="E242" s="74">
        <f>21270000*0.3</f>
        <v>6381000</v>
      </c>
      <c r="F242" s="75">
        <f>E242*0.8</f>
        <v>5104800</v>
      </c>
      <c r="G242" s="75">
        <f>ROUND(IF($H242=9,$E242,$E242*0.75),-2)</f>
        <v>4785800</v>
      </c>
    </row>
    <row r="243" spans="1:7" x14ac:dyDescent="0.25">
      <c r="A243">
        <v>259</v>
      </c>
      <c r="B243" t="s">
        <v>276</v>
      </c>
      <c r="C243" t="s">
        <v>277</v>
      </c>
      <c r="D243" t="s">
        <v>540</v>
      </c>
      <c r="E243" s="74">
        <v>2</v>
      </c>
      <c r="F243" s="75">
        <v>2</v>
      </c>
      <c r="G243" s="75">
        <v>2</v>
      </c>
    </row>
    <row r="244" spans="1:7" x14ac:dyDescent="0.25">
      <c r="A244">
        <v>260</v>
      </c>
      <c r="B244" t="s">
        <v>276</v>
      </c>
      <c r="C244" t="s">
        <v>278</v>
      </c>
      <c r="D244" t="s">
        <v>541</v>
      </c>
      <c r="E244" s="74">
        <v>2</v>
      </c>
      <c r="F244" s="75">
        <v>2</v>
      </c>
      <c r="G244" s="75">
        <v>2</v>
      </c>
    </row>
    <row r="245" spans="1:7" x14ac:dyDescent="0.25">
      <c r="A245">
        <v>261</v>
      </c>
      <c r="B245" t="s">
        <v>276</v>
      </c>
      <c r="C245" t="s">
        <v>279</v>
      </c>
      <c r="D245" t="s">
        <v>542</v>
      </c>
      <c r="E245" s="74">
        <v>2</v>
      </c>
      <c r="F245" s="75">
        <v>2</v>
      </c>
      <c r="G245" s="75">
        <v>2</v>
      </c>
    </row>
    <row r="246" spans="1:7" x14ac:dyDescent="0.25">
      <c r="A246">
        <v>262</v>
      </c>
      <c r="B246" t="s">
        <v>250</v>
      </c>
      <c r="C246" t="s">
        <v>280</v>
      </c>
      <c r="D246" t="s">
        <v>543</v>
      </c>
      <c r="E246" s="74">
        <v>52865325</v>
      </c>
      <c r="F246" s="75">
        <f>ROUND(IF($H246=9,$E246*1.1,$E246),-2)</f>
        <v>52865300</v>
      </c>
      <c r="G246" s="75">
        <f>ROUND(IF($H246=9,$E246,$E246*0.9),-2)</f>
        <v>47578800</v>
      </c>
    </row>
    <row r="247" spans="1:7" x14ac:dyDescent="0.25">
      <c r="A247">
        <v>263</v>
      </c>
      <c r="B247" t="s">
        <v>250</v>
      </c>
      <c r="C247" t="s">
        <v>281</v>
      </c>
      <c r="D247" t="s">
        <v>544</v>
      </c>
      <c r="E247" s="74">
        <v>50185389</v>
      </c>
      <c r="F247" s="75">
        <f>ROUND(IF($H247=9,$E247*1.1,$E247),-2)</f>
        <v>50185400</v>
      </c>
      <c r="G247" s="75">
        <f>ROUND(IF($H247=9,$E247,$E247*0.9),-2)</f>
        <v>45166900</v>
      </c>
    </row>
    <row r="248" spans="1:7" x14ac:dyDescent="0.25">
      <c r="A248">
        <v>264</v>
      </c>
      <c r="B248" t="s">
        <v>250</v>
      </c>
      <c r="C248" t="s">
        <v>282</v>
      </c>
      <c r="D248" t="s">
        <v>545</v>
      </c>
      <c r="E248" s="74">
        <v>222378641</v>
      </c>
      <c r="F248" s="75">
        <f>ROUND(IF($H248=9,$E248*1.1,$E248),-2)</f>
        <v>222378600</v>
      </c>
      <c r="G248" s="75">
        <f>ROUND(IF($H248=9,$E248,$E248*0.9),-2)</f>
        <v>200140800</v>
      </c>
    </row>
    <row r="249" spans="1:7" x14ac:dyDescent="0.25">
      <c r="A249">
        <v>265</v>
      </c>
      <c r="B249" t="s">
        <v>250</v>
      </c>
      <c r="C249" t="s">
        <v>283</v>
      </c>
      <c r="D249" t="s">
        <v>546</v>
      </c>
      <c r="E249" s="74">
        <v>35561538</v>
      </c>
      <c r="F249" s="75">
        <f>ROUND(IF($H249=9,$E249*1.1,$E249),-2)</f>
        <v>35561500</v>
      </c>
      <c r="G249" s="75">
        <f>ROUND(IF($H249=9,$E249,$E249*0.9),-2)</f>
        <v>32005400</v>
      </c>
    </row>
    <row r="250" spans="1:7" x14ac:dyDescent="0.25">
      <c r="A250">
        <v>266</v>
      </c>
      <c r="B250" t="s">
        <v>250</v>
      </c>
      <c r="C250" t="s">
        <v>284</v>
      </c>
      <c r="D250" t="s">
        <v>547</v>
      </c>
      <c r="E250" s="74">
        <v>35561538</v>
      </c>
      <c r="F250" s="75">
        <f>ROUND(IF($H250=9,$E250*1.1,$E250),-2)</f>
        <v>35561500</v>
      </c>
      <c r="G250" s="75">
        <f>ROUND(IF($H250=9,$E250,$E250*0.9),-2)</f>
        <v>32005400</v>
      </c>
    </row>
    <row r="251" spans="1:7" x14ac:dyDescent="0.25">
      <c r="A251">
        <v>267</v>
      </c>
      <c r="B251" t="s">
        <v>250</v>
      </c>
      <c r="C251" t="s">
        <v>285</v>
      </c>
      <c r="D251" t="s">
        <v>548</v>
      </c>
      <c r="E251" s="75">
        <v>1709829</v>
      </c>
      <c r="F251" s="75">
        <f>E251*0.8</f>
        <v>1367863.2000000002</v>
      </c>
      <c r="G251" s="75">
        <f>ROUND(IF($H251=9,$E251,$E251*0.75),-2)</f>
        <v>1282400</v>
      </c>
    </row>
    <row r="252" spans="1:7" x14ac:dyDescent="0.25">
      <c r="A252">
        <v>268</v>
      </c>
      <c r="B252" t="s">
        <v>250</v>
      </c>
      <c r="C252" t="s">
        <v>286</v>
      </c>
      <c r="D252" t="s">
        <v>549</v>
      </c>
      <c r="E252" s="75">
        <v>2082106</v>
      </c>
      <c r="F252" s="75">
        <f>ROUND(IF($H252=9,$E252*1.1,$E252),-2)</f>
        <v>2082100</v>
      </c>
      <c r="G252" s="75">
        <f>ROUND(IF($H252=9,$E252,$E252*0.9),-2)</f>
        <v>1873900</v>
      </c>
    </row>
    <row r="253" spans="1:7" x14ac:dyDescent="0.25">
      <c r="A253">
        <v>269</v>
      </c>
      <c r="B253" t="s">
        <v>250</v>
      </c>
      <c r="C253" t="s">
        <v>287</v>
      </c>
      <c r="D253" t="s">
        <v>550</v>
      </c>
      <c r="E253" s="75">
        <v>223954267</v>
      </c>
      <c r="F253" s="75">
        <f>ROUND(IF($H253=9,$E253*1.1,$E253),-2)</f>
        <v>223954300</v>
      </c>
      <c r="G253" s="75">
        <f>ROUND(IF($H253=9,$E253,$E253*0.9),-2)</f>
        <v>201558800</v>
      </c>
    </row>
    <row r="254" spans="1:7" x14ac:dyDescent="0.25">
      <c r="A254">
        <v>270</v>
      </c>
      <c r="B254" t="s">
        <v>250</v>
      </c>
      <c r="C254" t="s">
        <v>288</v>
      </c>
      <c r="D254" t="s">
        <v>551</v>
      </c>
      <c r="E254" s="75">
        <v>27355623</v>
      </c>
      <c r="F254" s="75">
        <f>ROUND(IF($H254=9,$E254*1.1,$E254),-2)</f>
        <v>27355600</v>
      </c>
      <c r="G254" s="75">
        <f>ROUND(IF($H254=9,$E254,$E254*0.9),-2)</f>
        <v>24620100</v>
      </c>
    </row>
    <row r="255" spans="1:7" x14ac:dyDescent="0.25">
      <c r="A255" s="41">
        <v>271</v>
      </c>
      <c r="B255" s="41" t="s">
        <v>250</v>
      </c>
      <c r="C255" s="41" t="s">
        <v>289</v>
      </c>
      <c r="D255" s="41" t="s">
        <v>552</v>
      </c>
      <c r="E255" s="74">
        <v>48709679</v>
      </c>
      <c r="F255" s="75">
        <f>E255*0.8</f>
        <v>38967743.200000003</v>
      </c>
      <c r="G255" s="75">
        <f>ROUND(IF($H255=9,$E255,$E255*0.75),-2)</f>
        <v>36532300</v>
      </c>
    </row>
    <row r="256" spans="1:7" x14ac:dyDescent="0.25">
      <c r="A256" s="41"/>
      <c r="B256" s="41"/>
      <c r="C256" s="41"/>
      <c r="D256" s="41"/>
      <c r="E256" s="41"/>
      <c r="F256" s="41"/>
    </row>
  </sheetData>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30DA7-9701-4610-9815-768D0AE9A8A8}">
  <dimension ref="A1:F79"/>
  <sheetViews>
    <sheetView zoomScale="90" zoomScaleNormal="90" workbookViewId="0">
      <pane ySplit="1" topLeftCell="A2" activePane="bottomLeft" state="frozen"/>
      <selection pane="bottomLeft" activeCell="M52" sqref="M52"/>
    </sheetView>
  </sheetViews>
  <sheetFormatPr baseColWidth="10" defaultColWidth="9.140625" defaultRowHeight="15" x14ac:dyDescent="0.25"/>
  <cols>
    <col min="1" max="1" width="15" customWidth="1"/>
    <col min="2" max="2" width="45" customWidth="1"/>
    <col min="3" max="3" width="65" customWidth="1"/>
    <col min="4" max="4" width="15" customWidth="1"/>
    <col min="5" max="5" width="21.42578125" bestFit="1" customWidth="1"/>
    <col min="6" max="6" width="23.42578125" customWidth="1"/>
  </cols>
  <sheetData>
    <row r="1" spans="1:6" x14ac:dyDescent="0.25">
      <c r="A1" s="73" t="s">
        <v>0</v>
      </c>
      <c r="B1" s="79" t="s">
        <v>557</v>
      </c>
      <c r="C1" s="79" t="s">
        <v>558</v>
      </c>
      <c r="D1" s="73" t="s">
        <v>290</v>
      </c>
      <c r="E1" s="79" t="s">
        <v>559</v>
      </c>
      <c r="F1" s="73" t="s">
        <v>291</v>
      </c>
    </row>
    <row r="2" spans="1:6" x14ac:dyDescent="0.25">
      <c r="A2">
        <v>11</v>
      </c>
      <c r="B2" t="s">
        <v>205</v>
      </c>
      <c r="C2" s="41" t="s">
        <v>299</v>
      </c>
      <c r="D2" s="77">
        <v>40</v>
      </c>
      <c r="E2" s="77">
        <v>42</v>
      </c>
      <c r="F2" s="77">
        <v>44</v>
      </c>
    </row>
    <row r="3" spans="1:6" x14ac:dyDescent="0.25">
      <c r="A3">
        <v>12</v>
      </c>
      <c r="B3" t="s">
        <v>206</v>
      </c>
      <c r="C3" s="41" t="s">
        <v>300</v>
      </c>
      <c r="D3" s="77">
        <v>45</v>
      </c>
      <c r="E3" s="77">
        <v>45</v>
      </c>
      <c r="F3" s="77">
        <v>46</v>
      </c>
    </row>
    <row r="4" spans="1:6" x14ac:dyDescent="0.25">
      <c r="A4">
        <v>13</v>
      </c>
      <c r="B4" t="s">
        <v>207</v>
      </c>
      <c r="C4" s="41" t="s">
        <v>301</v>
      </c>
      <c r="D4" s="77">
        <v>55</v>
      </c>
      <c r="E4" s="77">
        <v>56</v>
      </c>
      <c r="F4" s="77">
        <v>57</v>
      </c>
    </row>
    <row r="5" spans="1:6" x14ac:dyDescent="0.25">
      <c r="A5">
        <v>14</v>
      </c>
      <c r="B5" t="s">
        <v>208</v>
      </c>
      <c r="C5" s="41" t="s">
        <v>302</v>
      </c>
      <c r="D5" s="77">
        <v>35</v>
      </c>
      <c r="E5" s="77">
        <v>36</v>
      </c>
      <c r="F5" s="77">
        <v>37.5</v>
      </c>
    </row>
    <row r="6" spans="1:6" x14ac:dyDescent="0.25">
      <c r="A6">
        <v>19</v>
      </c>
      <c r="B6" t="s">
        <v>209</v>
      </c>
      <c r="C6" t="s">
        <v>303</v>
      </c>
      <c r="D6" s="77">
        <v>39</v>
      </c>
      <c r="E6" s="77">
        <v>40</v>
      </c>
      <c r="F6" s="77">
        <v>41</v>
      </c>
    </row>
    <row r="7" spans="1:6" x14ac:dyDescent="0.25">
      <c r="A7">
        <v>20</v>
      </c>
      <c r="B7" t="s">
        <v>209</v>
      </c>
      <c r="C7" t="s">
        <v>304</v>
      </c>
      <c r="D7" s="77">
        <v>42.5</v>
      </c>
      <c r="E7" s="77">
        <v>42.5</v>
      </c>
      <c r="F7" s="77">
        <v>43</v>
      </c>
    </row>
    <row r="8" spans="1:6" x14ac:dyDescent="0.25">
      <c r="A8">
        <v>21</v>
      </c>
      <c r="B8" t="s">
        <v>209</v>
      </c>
      <c r="C8" t="s">
        <v>305</v>
      </c>
      <c r="D8" s="77">
        <v>42.5</v>
      </c>
      <c r="E8" s="77">
        <v>42.5</v>
      </c>
      <c r="F8" s="77">
        <v>43</v>
      </c>
    </row>
    <row r="9" spans="1:6" x14ac:dyDescent="0.25">
      <c r="A9">
        <v>22</v>
      </c>
      <c r="B9" t="s">
        <v>209</v>
      </c>
      <c r="C9" t="s">
        <v>306</v>
      </c>
      <c r="D9" s="77">
        <v>44</v>
      </c>
      <c r="E9" s="77">
        <v>44</v>
      </c>
      <c r="F9" s="77">
        <v>45</v>
      </c>
    </row>
    <row r="10" spans="1:6" x14ac:dyDescent="0.25">
      <c r="A10">
        <v>23</v>
      </c>
      <c r="B10" t="s">
        <v>209</v>
      </c>
      <c r="C10" t="s">
        <v>307</v>
      </c>
      <c r="D10" s="77">
        <v>42.5</v>
      </c>
      <c r="E10" s="77">
        <v>42.5</v>
      </c>
      <c r="F10" s="77">
        <v>43</v>
      </c>
    </row>
    <row r="11" spans="1:6" x14ac:dyDescent="0.25">
      <c r="A11">
        <v>24</v>
      </c>
      <c r="B11" t="s">
        <v>210</v>
      </c>
      <c r="C11" t="s">
        <v>308</v>
      </c>
      <c r="D11" s="77">
        <v>41</v>
      </c>
      <c r="E11" s="77">
        <v>41</v>
      </c>
      <c r="F11" s="77">
        <v>42</v>
      </c>
    </row>
    <row r="12" spans="1:6" x14ac:dyDescent="0.25">
      <c r="A12">
        <v>25</v>
      </c>
      <c r="B12" t="s">
        <v>210</v>
      </c>
      <c r="C12" t="s">
        <v>309</v>
      </c>
      <c r="D12" s="77">
        <v>42.5</v>
      </c>
      <c r="E12" s="77">
        <v>42.5</v>
      </c>
      <c r="F12" s="77">
        <v>43</v>
      </c>
    </row>
    <row r="13" spans="1:6" x14ac:dyDescent="0.25">
      <c r="A13">
        <v>26</v>
      </c>
      <c r="B13" t="s">
        <v>210</v>
      </c>
      <c r="C13" t="s">
        <v>310</v>
      </c>
      <c r="D13" s="77">
        <v>46</v>
      </c>
      <c r="E13" s="77">
        <v>46</v>
      </c>
      <c r="F13" s="77">
        <v>47</v>
      </c>
    </row>
    <row r="14" spans="1:6" x14ac:dyDescent="0.25">
      <c r="A14">
        <v>28</v>
      </c>
      <c r="B14" t="s">
        <v>211</v>
      </c>
      <c r="C14" t="s">
        <v>311</v>
      </c>
      <c r="D14" s="77">
        <v>55</v>
      </c>
      <c r="E14" s="77">
        <v>56</v>
      </c>
      <c r="F14" s="77">
        <v>57</v>
      </c>
    </row>
    <row r="15" spans="1:6" x14ac:dyDescent="0.25">
      <c r="A15" s="41">
        <v>30</v>
      </c>
      <c r="B15" s="56" t="s">
        <v>213</v>
      </c>
      <c r="C15" t="s">
        <v>312</v>
      </c>
      <c r="D15" s="78">
        <v>35</v>
      </c>
      <c r="E15" s="78">
        <v>36</v>
      </c>
      <c r="F15" s="78">
        <v>37</v>
      </c>
    </row>
    <row r="16" spans="1:6" x14ac:dyDescent="0.25">
      <c r="A16">
        <v>31</v>
      </c>
      <c r="B16" t="s">
        <v>214</v>
      </c>
      <c r="C16" t="s">
        <v>313</v>
      </c>
      <c r="D16" s="77">
        <v>35</v>
      </c>
      <c r="E16" s="77">
        <v>36</v>
      </c>
      <c r="F16" s="77">
        <v>37</v>
      </c>
    </row>
    <row r="17" spans="1:6" x14ac:dyDescent="0.25">
      <c r="A17">
        <v>32</v>
      </c>
      <c r="B17" t="s">
        <v>215</v>
      </c>
      <c r="C17" t="s">
        <v>314</v>
      </c>
      <c r="D17" s="77">
        <v>35</v>
      </c>
      <c r="E17" s="77">
        <v>36</v>
      </c>
      <c r="F17" s="77">
        <v>37</v>
      </c>
    </row>
    <row r="18" spans="1:6" x14ac:dyDescent="0.25">
      <c r="A18">
        <v>33</v>
      </c>
      <c r="B18" t="s">
        <v>216</v>
      </c>
      <c r="C18" t="s">
        <v>315</v>
      </c>
      <c r="D18" s="77">
        <v>39</v>
      </c>
      <c r="E18" s="77">
        <v>40</v>
      </c>
      <c r="F18" s="77">
        <v>41</v>
      </c>
    </row>
    <row r="19" spans="1:6" x14ac:dyDescent="0.25">
      <c r="A19">
        <v>34</v>
      </c>
      <c r="B19" t="s">
        <v>217</v>
      </c>
      <c r="C19" t="s">
        <v>316</v>
      </c>
      <c r="D19" s="78">
        <v>35</v>
      </c>
      <c r="E19" s="78">
        <v>36</v>
      </c>
      <c r="F19" s="78">
        <v>37</v>
      </c>
    </row>
    <row r="20" spans="1:6" x14ac:dyDescent="0.25">
      <c r="A20">
        <v>36</v>
      </c>
      <c r="B20" t="s">
        <v>218</v>
      </c>
      <c r="C20" t="s">
        <v>317</v>
      </c>
      <c r="D20" s="78">
        <v>28.6</v>
      </c>
      <c r="E20" s="78">
        <f>D20+1</f>
        <v>29.6</v>
      </c>
      <c r="F20" s="78">
        <f>D20+2</f>
        <v>30.6</v>
      </c>
    </row>
    <row r="21" spans="1:6" x14ac:dyDescent="0.25">
      <c r="A21">
        <v>37</v>
      </c>
      <c r="B21" t="s">
        <v>218</v>
      </c>
      <c r="C21" t="s">
        <v>318</v>
      </c>
      <c r="D21" s="78">
        <v>27.4</v>
      </c>
      <c r="E21" s="78">
        <f>D21+1</f>
        <v>28.4</v>
      </c>
      <c r="F21" s="78">
        <f>D21+2</f>
        <v>29.4</v>
      </c>
    </row>
    <row r="22" spans="1:6" x14ac:dyDescent="0.25">
      <c r="A22">
        <v>38</v>
      </c>
      <c r="B22" t="s">
        <v>218</v>
      </c>
      <c r="C22" t="s">
        <v>319</v>
      </c>
      <c r="D22" s="78">
        <v>26.5</v>
      </c>
      <c r="E22" s="78">
        <f>D22+1</f>
        <v>27.5</v>
      </c>
      <c r="F22" s="78">
        <f>D22+2</f>
        <v>28.5</v>
      </c>
    </row>
    <row r="23" spans="1:6" x14ac:dyDescent="0.25">
      <c r="A23">
        <v>39</v>
      </c>
      <c r="B23" t="s">
        <v>218</v>
      </c>
      <c r="C23" t="s">
        <v>320</v>
      </c>
      <c r="D23" s="78">
        <v>25.2</v>
      </c>
      <c r="E23" s="78">
        <f>D23+1</f>
        <v>26.2</v>
      </c>
      <c r="F23" s="78">
        <f>D23+2</f>
        <v>27.2</v>
      </c>
    </row>
    <row r="24" spans="1:6" x14ac:dyDescent="0.25">
      <c r="A24">
        <v>50</v>
      </c>
      <c r="B24" t="s">
        <v>226</v>
      </c>
      <c r="C24" t="s">
        <v>331</v>
      </c>
      <c r="D24" s="78">
        <v>20</v>
      </c>
      <c r="E24" s="78">
        <v>22</v>
      </c>
      <c r="F24" s="78">
        <v>25</v>
      </c>
    </row>
    <row r="25" spans="1:6" x14ac:dyDescent="0.25">
      <c r="A25">
        <v>54</v>
      </c>
      <c r="B25" t="s">
        <v>228</v>
      </c>
      <c r="C25" t="s">
        <v>335</v>
      </c>
      <c r="D25" s="78">
        <v>32</v>
      </c>
      <c r="E25" s="78">
        <v>33</v>
      </c>
      <c r="F25" s="78">
        <v>35</v>
      </c>
    </row>
    <row r="26" spans="1:6" x14ac:dyDescent="0.25">
      <c r="A26">
        <v>61</v>
      </c>
      <c r="B26" t="s">
        <v>226</v>
      </c>
      <c r="C26" t="s">
        <v>342</v>
      </c>
      <c r="D26" s="77">
        <v>19</v>
      </c>
      <c r="E26" s="78">
        <v>21</v>
      </c>
      <c r="F26" s="78">
        <v>24</v>
      </c>
    </row>
    <row r="27" spans="1:6" x14ac:dyDescent="0.25">
      <c r="A27">
        <v>63</v>
      </c>
      <c r="B27" t="s">
        <v>226</v>
      </c>
      <c r="C27" t="s">
        <v>344</v>
      </c>
      <c r="D27" s="77">
        <v>20</v>
      </c>
      <c r="E27" s="78">
        <v>22</v>
      </c>
      <c r="F27" s="78">
        <v>25</v>
      </c>
    </row>
    <row r="28" spans="1:6" x14ac:dyDescent="0.25">
      <c r="A28">
        <v>68</v>
      </c>
      <c r="B28" t="s">
        <v>228</v>
      </c>
      <c r="C28" t="s">
        <v>349</v>
      </c>
      <c r="D28" s="77">
        <v>32</v>
      </c>
      <c r="E28" s="78">
        <v>33</v>
      </c>
      <c r="F28" s="78">
        <v>35</v>
      </c>
    </row>
    <row r="29" spans="1:6" x14ac:dyDescent="0.25">
      <c r="A29">
        <v>76</v>
      </c>
      <c r="B29" t="s">
        <v>226</v>
      </c>
      <c r="C29" t="s">
        <v>357</v>
      </c>
      <c r="D29" s="77">
        <v>20</v>
      </c>
      <c r="E29" s="78">
        <v>22</v>
      </c>
      <c r="F29" s="78">
        <v>25</v>
      </c>
    </row>
    <row r="30" spans="1:6" x14ac:dyDescent="0.25">
      <c r="A30">
        <v>82</v>
      </c>
      <c r="B30" t="s">
        <v>228</v>
      </c>
      <c r="C30" t="s">
        <v>363</v>
      </c>
      <c r="D30" s="77">
        <v>33</v>
      </c>
      <c r="E30" s="78">
        <v>34</v>
      </c>
      <c r="F30" s="78">
        <v>36</v>
      </c>
    </row>
    <row r="31" spans="1:6" x14ac:dyDescent="0.25">
      <c r="A31">
        <v>89</v>
      </c>
      <c r="B31" t="s">
        <v>226</v>
      </c>
      <c r="C31" t="s">
        <v>370</v>
      </c>
      <c r="D31" s="77">
        <v>20</v>
      </c>
      <c r="E31" s="78">
        <v>22</v>
      </c>
      <c r="F31" s="78">
        <v>25</v>
      </c>
    </row>
    <row r="32" spans="1:6" x14ac:dyDescent="0.25">
      <c r="A32">
        <v>94</v>
      </c>
      <c r="B32" t="s">
        <v>228</v>
      </c>
      <c r="C32" t="s">
        <v>375</v>
      </c>
      <c r="D32" s="77">
        <v>32</v>
      </c>
      <c r="E32" s="78">
        <v>33</v>
      </c>
      <c r="F32" s="78">
        <v>35</v>
      </c>
    </row>
    <row r="33" spans="1:6" x14ac:dyDescent="0.25">
      <c r="A33">
        <v>103</v>
      </c>
      <c r="B33" t="s">
        <v>226</v>
      </c>
      <c r="C33" t="s">
        <v>384</v>
      </c>
      <c r="D33" s="77">
        <v>20</v>
      </c>
      <c r="E33" s="78">
        <v>22</v>
      </c>
      <c r="F33" s="78">
        <v>25</v>
      </c>
    </row>
    <row r="34" spans="1:6" x14ac:dyDescent="0.25">
      <c r="A34">
        <v>107</v>
      </c>
      <c r="B34" t="s">
        <v>228</v>
      </c>
      <c r="C34" t="s">
        <v>388</v>
      </c>
      <c r="D34" s="77">
        <v>37</v>
      </c>
      <c r="E34" s="78">
        <v>38</v>
      </c>
      <c r="F34" s="78">
        <v>39</v>
      </c>
    </row>
    <row r="35" spans="1:6" x14ac:dyDescent="0.25">
      <c r="A35">
        <v>112</v>
      </c>
      <c r="B35" t="s">
        <v>226</v>
      </c>
      <c r="C35" t="s">
        <v>393</v>
      </c>
      <c r="D35" s="77">
        <v>20</v>
      </c>
      <c r="E35" s="78">
        <v>22</v>
      </c>
      <c r="F35" s="78">
        <v>25</v>
      </c>
    </row>
    <row r="36" spans="1:6" x14ac:dyDescent="0.25">
      <c r="A36">
        <v>113</v>
      </c>
      <c r="B36" t="s">
        <v>226</v>
      </c>
      <c r="C36" t="s">
        <v>394</v>
      </c>
      <c r="D36" s="77">
        <v>18</v>
      </c>
      <c r="E36" s="78">
        <v>20</v>
      </c>
      <c r="F36" s="78">
        <v>23</v>
      </c>
    </row>
    <row r="37" spans="1:6" x14ac:dyDescent="0.25">
      <c r="A37">
        <v>117</v>
      </c>
      <c r="B37" t="s">
        <v>228</v>
      </c>
      <c r="C37" t="s">
        <v>398</v>
      </c>
      <c r="D37" s="77">
        <v>39</v>
      </c>
      <c r="E37" s="78">
        <v>40</v>
      </c>
      <c r="F37" s="78">
        <v>41</v>
      </c>
    </row>
    <row r="38" spans="1:6" x14ac:dyDescent="0.25">
      <c r="A38">
        <v>123</v>
      </c>
      <c r="B38" t="s">
        <v>226</v>
      </c>
      <c r="C38" t="s">
        <v>404</v>
      </c>
      <c r="D38" s="77">
        <v>24</v>
      </c>
      <c r="E38" s="78">
        <v>25</v>
      </c>
      <c r="F38" s="78">
        <v>26</v>
      </c>
    </row>
    <row r="39" spans="1:6" x14ac:dyDescent="0.25">
      <c r="A39">
        <v>124</v>
      </c>
      <c r="B39" t="s">
        <v>226</v>
      </c>
      <c r="C39" t="s">
        <v>405</v>
      </c>
      <c r="D39" s="77">
        <v>23</v>
      </c>
      <c r="E39" s="78">
        <v>24</v>
      </c>
      <c r="F39" s="78">
        <v>25</v>
      </c>
    </row>
    <row r="40" spans="1:6" x14ac:dyDescent="0.25">
      <c r="A40">
        <v>130</v>
      </c>
      <c r="B40" t="s">
        <v>228</v>
      </c>
      <c r="C40" t="s">
        <v>411</v>
      </c>
      <c r="D40" s="77">
        <v>37</v>
      </c>
      <c r="E40" s="78">
        <v>38</v>
      </c>
      <c r="F40" s="78">
        <v>39</v>
      </c>
    </row>
    <row r="41" spans="1:6" x14ac:dyDescent="0.25">
      <c r="A41">
        <v>140</v>
      </c>
      <c r="B41" t="s">
        <v>226</v>
      </c>
      <c r="C41" t="s">
        <v>421</v>
      </c>
      <c r="D41" s="77">
        <v>20</v>
      </c>
      <c r="E41" s="78">
        <v>22</v>
      </c>
      <c r="F41" s="78">
        <v>25</v>
      </c>
    </row>
    <row r="42" spans="1:6" x14ac:dyDescent="0.25">
      <c r="A42">
        <v>144</v>
      </c>
      <c r="B42" t="s">
        <v>228</v>
      </c>
      <c r="C42" t="s">
        <v>425</v>
      </c>
      <c r="D42" s="77">
        <v>37</v>
      </c>
      <c r="E42" s="78">
        <v>38</v>
      </c>
      <c r="F42" s="78">
        <v>39</v>
      </c>
    </row>
    <row r="43" spans="1:6" x14ac:dyDescent="0.25">
      <c r="A43">
        <v>150</v>
      </c>
      <c r="B43" t="s">
        <v>226</v>
      </c>
      <c r="C43" t="s">
        <v>431</v>
      </c>
      <c r="D43" s="77">
        <v>20</v>
      </c>
      <c r="E43" s="78">
        <v>22</v>
      </c>
      <c r="F43" s="78">
        <v>25</v>
      </c>
    </row>
    <row r="44" spans="1:6" x14ac:dyDescent="0.25">
      <c r="A44">
        <v>155</v>
      </c>
      <c r="B44" t="s">
        <v>228</v>
      </c>
      <c r="C44" t="s">
        <v>436</v>
      </c>
      <c r="D44" s="77">
        <v>37</v>
      </c>
      <c r="E44" s="78">
        <v>38</v>
      </c>
      <c r="F44" s="78">
        <v>39</v>
      </c>
    </row>
    <row r="45" spans="1:6" x14ac:dyDescent="0.25">
      <c r="A45">
        <v>159</v>
      </c>
      <c r="B45" t="s">
        <v>226</v>
      </c>
      <c r="C45" t="s">
        <v>440</v>
      </c>
      <c r="D45" s="77">
        <v>21</v>
      </c>
      <c r="E45" s="78">
        <v>23</v>
      </c>
      <c r="F45" s="78">
        <v>26</v>
      </c>
    </row>
    <row r="46" spans="1:6" x14ac:dyDescent="0.25">
      <c r="A46">
        <v>160</v>
      </c>
      <c r="B46" t="s">
        <v>226</v>
      </c>
      <c r="C46" t="s">
        <v>441</v>
      </c>
      <c r="D46" s="77">
        <v>20</v>
      </c>
      <c r="E46" s="78">
        <v>22</v>
      </c>
      <c r="F46" s="78">
        <v>25</v>
      </c>
    </row>
    <row r="47" spans="1:6" x14ac:dyDescent="0.25">
      <c r="A47">
        <v>165</v>
      </c>
      <c r="B47" t="s">
        <v>228</v>
      </c>
      <c r="C47" t="s">
        <v>446</v>
      </c>
      <c r="D47" s="77">
        <v>37</v>
      </c>
      <c r="E47" s="78">
        <v>38</v>
      </c>
      <c r="F47" s="78">
        <v>39</v>
      </c>
    </row>
    <row r="48" spans="1:6" x14ac:dyDescent="0.25">
      <c r="A48">
        <v>174</v>
      </c>
      <c r="B48" t="s">
        <v>226</v>
      </c>
      <c r="C48" t="s">
        <v>455</v>
      </c>
      <c r="D48" s="77">
        <v>20</v>
      </c>
      <c r="E48" s="78">
        <v>22</v>
      </c>
      <c r="F48" s="78">
        <v>25</v>
      </c>
    </row>
    <row r="49" spans="1:6" x14ac:dyDescent="0.25">
      <c r="A49">
        <v>182</v>
      </c>
      <c r="B49" t="s">
        <v>226</v>
      </c>
      <c r="C49" t="s">
        <v>463</v>
      </c>
      <c r="D49" s="77">
        <v>24</v>
      </c>
      <c r="E49" s="78">
        <v>25</v>
      </c>
      <c r="F49" s="78">
        <v>26</v>
      </c>
    </row>
    <row r="50" spans="1:6" x14ac:dyDescent="0.25">
      <c r="A50">
        <v>187</v>
      </c>
      <c r="B50" t="s">
        <v>228</v>
      </c>
      <c r="C50" t="s">
        <v>468</v>
      </c>
      <c r="D50" s="77">
        <v>36</v>
      </c>
      <c r="E50" s="78">
        <v>37</v>
      </c>
      <c r="F50" s="78">
        <v>38</v>
      </c>
    </row>
    <row r="51" spans="1:6" x14ac:dyDescent="0.25">
      <c r="A51">
        <v>194</v>
      </c>
      <c r="B51" t="s">
        <v>226</v>
      </c>
      <c r="C51" t="s">
        <v>475</v>
      </c>
      <c r="D51" s="77">
        <v>20</v>
      </c>
      <c r="E51" s="78">
        <v>22</v>
      </c>
      <c r="F51" s="78">
        <v>25</v>
      </c>
    </row>
    <row r="52" spans="1:6" x14ac:dyDescent="0.25">
      <c r="A52">
        <v>199</v>
      </c>
      <c r="B52" t="s">
        <v>228</v>
      </c>
      <c r="C52" t="s">
        <v>480</v>
      </c>
      <c r="D52" s="77">
        <v>39</v>
      </c>
      <c r="E52" s="78">
        <v>40</v>
      </c>
      <c r="F52" s="78">
        <v>41</v>
      </c>
    </row>
    <row r="53" spans="1:6" x14ac:dyDescent="0.25">
      <c r="A53">
        <v>206</v>
      </c>
      <c r="B53" t="s">
        <v>226</v>
      </c>
      <c r="C53" t="s">
        <v>487</v>
      </c>
      <c r="D53" s="77">
        <v>25</v>
      </c>
      <c r="E53" s="78">
        <v>26</v>
      </c>
      <c r="F53" s="78">
        <v>27</v>
      </c>
    </row>
    <row r="54" spans="1:6" x14ac:dyDescent="0.25">
      <c r="A54">
        <v>207</v>
      </c>
      <c r="B54" t="s">
        <v>233</v>
      </c>
      <c r="C54" t="s">
        <v>488</v>
      </c>
      <c r="D54" s="77">
        <v>38</v>
      </c>
      <c r="E54" s="78">
        <v>38</v>
      </c>
      <c r="F54" s="78">
        <v>38</v>
      </c>
    </row>
    <row r="55" spans="1:6" x14ac:dyDescent="0.25">
      <c r="A55">
        <v>208</v>
      </c>
      <c r="B55" t="s">
        <v>234</v>
      </c>
      <c r="C55" t="s">
        <v>489</v>
      </c>
      <c r="D55" s="77">
        <v>40</v>
      </c>
      <c r="E55" s="78">
        <v>41</v>
      </c>
      <c r="F55" s="78">
        <v>42</v>
      </c>
    </row>
    <row r="56" spans="1:6" x14ac:dyDescent="0.25">
      <c r="A56">
        <v>209</v>
      </c>
      <c r="B56" t="s">
        <v>235</v>
      </c>
      <c r="C56" t="s">
        <v>490</v>
      </c>
      <c r="D56" s="77">
        <v>38</v>
      </c>
      <c r="E56" s="78">
        <v>38</v>
      </c>
      <c r="F56" s="78">
        <v>38</v>
      </c>
    </row>
    <row r="57" spans="1:6" s="3" customFormat="1" x14ac:dyDescent="0.25">
      <c r="A57" s="3">
        <v>212</v>
      </c>
      <c r="B57" s="3" t="s">
        <v>237</v>
      </c>
      <c r="C57" t="s">
        <v>493</v>
      </c>
      <c r="D57" s="83">
        <v>44</v>
      </c>
      <c r="E57" s="84">
        <v>44</v>
      </c>
      <c r="F57" s="84">
        <v>45</v>
      </c>
    </row>
    <row r="58" spans="1:6" s="3" customFormat="1" x14ac:dyDescent="0.25">
      <c r="A58" s="3">
        <v>213</v>
      </c>
      <c r="B58" s="3" t="s">
        <v>238</v>
      </c>
      <c r="C58" t="s">
        <v>494</v>
      </c>
      <c r="D58" s="83">
        <v>20</v>
      </c>
      <c r="E58" s="84">
        <v>22</v>
      </c>
      <c r="F58" s="84">
        <v>25</v>
      </c>
    </row>
    <row r="59" spans="1:6" s="3" customFormat="1" x14ac:dyDescent="0.25">
      <c r="A59" s="3">
        <v>215</v>
      </c>
      <c r="B59" s="3" t="s">
        <v>239</v>
      </c>
      <c r="C59" t="s">
        <v>496</v>
      </c>
      <c r="D59" s="83">
        <v>30</v>
      </c>
      <c r="E59" s="84">
        <v>31</v>
      </c>
      <c r="F59" s="84">
        <v>33</v>
      </c>
    </row>
    <row r="60" spans="1:6" s="3" customFormat="1" x14ac:dyDescent="0.25">
      <c r="A60" s="3">
        <v>217</v>
      </c>
      <c r="B60" s="3" t="s">
        <v>228</v>
      </c>
      <c r="C60" t="s">
        <v>498</v>
      </c>
      <c r="D60" s="83">
        <v>47</v>
      </c>
      <c r="E60" s="84">
        <v>48</v>
      </c>
      <c r="F60" s="84">
        <v>50</v>
      </c>
    </row>
    <row r="61" spans="1:6" s="3" customFormat="1" x14ac:dyDescent="0.25">
      <c r="A61" s="3">
        <v>221</v>
      </c>
      <c r="B61" s="3" t="s">
        <v>239</v>
      </c>
      <c r="C61" t="s">
        <v>502</v>
      </c>
      <c r="D61" s="83">
        <v>25</v>
      </c>
      <c r="E61" s="84">
        <v>26</v>
      </c>
      <c r="F61" s="84">
        <v>27</v>
      </c>
    </row>
    <row r="62" spans="1:6" s="3" customFormat="1" x14ac:dyDescent="0.25">
      <c r="A62" s="3">
        <v>225</v>
      </c>
      <c r="B62" s="3" t="s">
        <v>242</v>
      </c>
      <c r="C62" t="s">
        <v>506</v>
      </c>
      <c r="D62" s="83">
        <v>14</v>
      </c>
      <c r="E62" s="84">
        <v>15</v>
      </c>
      <c r="F62" s="84">
        <v>16</v>
      </c>
    </row>
    <row r="63" spans="1:6" s="3" customFormat="1" x14ac:dyDescent="0.25">
      <c r="A63" s="3">
        <v>226</v>
      </c>
      <c r="B63" s="3" t="s">
        <v>243</v>
      </c>
      <c r="C63" t="s">
        <v>507</v>
      </c>
      <c r="D63" s="83">
        <v>14</v>
      </c>
      <c r="E63" s="84">
        <v>15</v>
      </c>
      <c r="F63" s="84">
        <v>16</v>
      </c>
    </row>
    <row r="64" spans="1:6" s="3" customFormat="1" x14ac:dyDescent="0.25">
      <c r="A64" s="3">
        <v>228</v>
      </c>
      <c r="B64" s="3" t="s">
        <v>244</v>
      </c>
      <c r="C64" t="s">
        <v>509</v>
      </c>
      <c r="D64" s="83">
        <v>10.4</v>
      </c>
      <c r="E64" s="84">
        <v>11</v>
      </c>
      <c r="F64" s="84">
        <v>12</v>
      </c>
    </row>
    <row r="65" spans="4:6" x14ac:dyDescent="0.25">
      <c r="D65" s="77"/>
      <c r="E65" s="77"/>
      <c r="F65" s="77"/>
    </row>
    <row r="66" spans="4:6" x14ac:dyDescent="0.25">
      <c r="D66" s="77"/>
      <c r="E66" s="77"/>
      <c r="F66" s="77"/>
    </row>
    <row r="67" spans="4:6" x14ac:dyDescent="0.25">
      <c r="D67" s="77"/>
      <c r="E67" s="77"/>
      <c r="F67" s="77"/>
    </row>
    <row r="68" spans="4:6" x14ac:dyDescent="0.25">
      <c r="D68" s="77"/>
      <c r="E68" s="77"/>
      <c r="F68" s="77"/>
    </row>
    <row r="69" spans="4:6" x14ac:dyDescent="0.25">
      <c r="D69" s="77"/>
      <c r="E69" s="77"/>
      <c r="F69" s="77"/>
    </row>
    <row r="70" spans="4:6" x14ac:dyDescent="0.25">
      <c r="D70" s="77"/>
      <c r="E70" s="77"/>
      <c r="F70" s="77"/>
    </row>
    <row r="71" spans="4:6" x14ac:dyDescent="0.25">
      <c r="D71" s="77"/>
      <c r="E71" s="77"/>
      <c r="F71" s="77"/>
    </row>
    <row r="72" spans="4:6" x14ac:dyDescent="0.25">
      <c r="D72" s="77"/>
      <c r="E72" s="77"/>
      <c r="F72" s="77"/>
    </row>
    <row r="73" spans="4:6" x14ac:dyDescent="0.25">
      <c r="D73" s="77"/>
      <c r="E73" s="77"/>
      <c r="F73" s="77"/>
    </row>
    <row r="74" spans="4:6" x14ac:dyDescent="0.25">
      <c r="D74" s="77"/>
      <c r="E74" s="77"/>
      <c r="F74" s="77"/>
    </row>
    <row r="75" spans="4:6" x14ac:dyDescent="0.25">
      <c r="D75" s="77"/>
      <c r="E75" s="77"/>
      <c r="F75" s="77"/>
    </row>
    <row r="76" spans="4:6" x14ac:dyDescent="0.25">
      <c r="D76" s="77"/>
      <c r="E76" s="77"/>
      <c r="F76" s="77"/>
    </row>
    <row r="77" spans="4:6" x14ac:dyDescent="0.25">
      <c r="D77" s="77"/>
      <c r="E77" s="77"/>
      <c r="F77" s="77"/>
    </row>
    <row r="78" spans="4:6" x14ac:dyDescent="0.25">
      <c r="D78" s="77"/>
      <c r="E78" s="77"/>
      <c r="F78" s="77"/>
    </row>
    <row r="79" spans="4:6" x14ac:dyDescent="0.25">
      <c r="D79" s="77"/>
      <c r="E79" s="77"/>
      <c r="F79" s="77"/>
    </row>
  </sheetData>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E2BE-2D7E-413A-A4E0-688B06F08304}">
  <dimension ref="A1:F81"/>
  <sheetViews>
    <sheetView zoomScaleNormal="100" workbookViewId="0">
      <selection activeCell="I14" sqref="I14"/>
    </sheetView>
  </sheetViews>
  <sheetFormatPr baseColWidth="10" defaultColWidth="9.140625" defaultRowHeight="15" x14ac:dyDescent="0.25"/>
  <cols>
    <col min="1" max="1" width="15" customWidth="1"/>
    <col min="2" max="2" width="30" customWidth="1"/>
    <col min="3" max="3" width="41.85546875" bestFit="1" customWidth="1"/>
    <col min="4" max="4" width="20" customWidth="1"/>
    <col min="5" max="7" width="30" customWidth="1"/>
  </cols>
  <sheetData>
    <row r="1" spans="1:6" ht="30" x14ac:dyDescent="0.25">
      <c r="A1" s="79" t="s">
        <v>0</v>
      </c>
      <c r="B1" s="79" t="s">
        <v>557</v>
      </c>
      <c r="C1" s="79" t="s">
        <v>558</v>
      </c>
      <c r="D1" s="79" t="s">
        <v>292</v>
      </c>
      <c r="E1" s="80" t="s">
        <v>293</v>
      </c>
      <c r="F1" s="80" t="s">
        <v>294</v>
      </c>
    </row>
    <row r="2" spans="1:6" x14ac:dyDescent="0.25">
      <c r="A2">
        <v>40</v>
      </c>
      <c r="B2" t="s">
        <v>220</v>
      </c>
      <c r="C2" s="92" t="s">
        <v>321</v>
      </c>
      <c r="D2" s="77">
        <v>98</v>
      </c>
      <c r="E2" s="77">
        <v>98</v>
      </c>
      <c r="F2" s="77">
        <v>99</v>
      </c>
    </row>
    <row r="3" spans="1:6" x14ac:dyDescent="0.25">
      <c r="A3">
        <v>47</v>
      </c>
      <c r="B3" t="s">
        <v>224</v>
      </c>
      <c r="C3" s="92" t="s">
        <v>328</v>
      </c>
      <c r="D3" s="77">
        <v>80</v>
      </c>
      <c r="E3" s="77">
        <v>78</v>
      </c>
      <c r="F3" s="77">
        <v>82</v>
      </c>
    </row>
    <row r="4" spans="1:6" x14ac:dyDescent="0.25">
      <c r="A4">
        <v>49</v>
      </c>
      <c r="B4" t="s">
        <v>225</v>
      </c>
      <c r="C4" s="92" t="s">
        <v>330</v>
      </c>
      <c r="D4" s="77">
        <v>83</v>
      </c>
      <c r="E4" s="77">
        <v>80</v>
      </c>
      <c r="F4" s="77">
        <v>85</v>
      </c>
    </row>
    <row r="5" spans="1:6" x14ac:dyDescent="0.25">
      <c r="A5">
        <v>51</v>
      </c>
      <c r="B5" t="s">
        <v>227</v>
      </c>
      <c r="C5" s="92" t="s">
        <v>332</v>
      </c>
      <c r="D5" s="77">
        <v>88</v>
      </c>
      <c r="E5" s="77">
        <v>88</v>
      </c>
      <c r="F5" s="77">
        <v>89</v>
      </c>
    </row>
    <row r="6" spans="1:6" x14ac:dyDescent="0.25">
      <c r="A6">
        <v>52</v>
      </c>
      <c r="B6" t="s">
        <v>227</v>
      </c>
      <c r="C6" s="92" t="s">
        <v>333</v>
      </c>
      <c r="D6" s="77">
        <v>90</v>
      </c>
      <c r="E6" s="77">
        <v>90</v>
      </c>
      <c r="F6" s="77">
        <v>91</v>
      </c>
    </row>
    <row r="7" spans="1:6" x14ac:dyDescent="0.25">
      <c r="A7">
        <v>57</v>
      </c>
      <c r="B7" t="s">
        <v>229</v>
      </c>
      <c r="C7" s="92" t="s">
        <v>338</v>
      </c>
      <c r="D7" s="77">
        <v>75</v>
      </c>
      <c r="E7" s="77">
        <v>73</v>
      </c>
      <c r="F7" s="77">
        <v>78</v>
      </c>
    </row>
    <row r="8" spans="1:6" x14ac:dyDescent="0.25">
      <c r="A8">
        <v>58</v>
      </c>
      <c r="B8" t="s">
        <v>224</v>
      </c>
      <c r="C8" s="92" t="s">
        <v>339</v>
      </c>
      <c r="D8" s="77">
        <v>80</v>
      </c>
      <c r="E8" s="77">
        <v>78</v>
      </c>
      <c r="F8" s="77">
        <v>82</v>
      </c>
    </row>
    <row r="9" spans="1:6" x14ac:dyDescent="0.25">
      <c r="A9">
        <v>60</v>
      </c>
      <c r="B9" t="s">
        <v>230</v>
      </c>
      <c r="C9" s="92" t="s">
        <v>341</v>
      </c>
      <c r="D9" s="77">
        <v>77</v>
      </c>
      <c r="E9" s="77">
        <v>75</v>
      </c>
      <c r="F9" s="77">
        <v>80</v>
      </c>
    </row>
    <row r="10" spans="1:6" x14ac:dyDescent="0.25">
      <c r="A10">
        <v>64</v>
      </c>
      <c r="B10" t="s">
        <v>227</v>
      </c>
      <c r="C10" s="92" t="s">
        <v>345</v>
      </c>
      <c r="D10" s="77">
        <v>88</v>
      </c>
      <c r="E10" s="77">
        <v>88</v>
      </c>
      <c r="F10" s="77">
        <v>89</v>
      </c>
    </row>
    <row r="11" spans="1:6" x14ac:dyDescent="0.25">
      <c r="A11">
        <v>65</v>
      </c>
      <c r="B11" t="s">
        <v>227</v>
      </c>
      <c r="C11" s="92" t="s">
        <v>346</v>
      </c>
      <c r="D11" s="77">
        <v>87</v>
      </c>
      <c r="E11" s="77">
        <v>88</v>
      </c>
      <c r="F11" s="77">
        <v>89</v>
      </c>
    </row>
    <row r="12" spans="1:6" x14ac:dyDescent="0.25">
      <c r="A12">
        <v>66</v>
      </c>
      <c r="B12" t="s">
        <v>227</v>
      </c>
      <c r="C12" s="92" t="s">
        <v>347</v>
      </c>
      <c r="D12" s="77">
        <v>90</v>
      </c>
      <c r="E12" s="77">
        <v>90</v>
      </c>
      <c r="F12" s="77">
        <v>91</v>
      </c>
    </row>
    <row r="13" spans="1:6" x14ac:dyDescent="0.25">
      <c r="A13">
        <v>73</v>
      </c>
      <c r="B13" t="s">
        <v>229</v>
      </c>
      <c r="C13" s="92" t="s">
        <v>354</v>
      </c>
      <c r="D13" s="77">
        <v>75</v>
      </c>
      <c r="E13" s="77">
        <v>73</v>
      </c>
      <c r="F13" s="77">
        <v>78</v>
      </c>
    </row>
    <row r="14" spans="1:6" x14ac:dyDescent="0.25">
      <c r="A14">
        <v>74</v>
      </c>
      <c r="B14" t="s">
        <v>224</v>
      </c>
      <c r="C14" s="92" t="s">
        <v>355</v>
      </c>
      <c r="D14" s="77">
        <v>80</v>
      </c>
      <c r="E14" s="77">
        <v>78</v>
      </c>
      <c r="F14" s="77">
        <v>82</v>
      </c>
    </row>
    <row r="15" spans="1:6" x14ac:dyDescent="0.25">
      <c r="A15">
        <v>77</v>
      </c>
      <c r="B15" t="s">
        <v>227</v>
      </c>
      <c r="C15" s="92" t="s">
        <v>358</v>
      </c>
      <c r="D15" s="77">
        <v>89</v>
      </c>
      <c r="E15" s="77">
        <v>89</v>
      </c>
      <c r="F15" s="77">
        <v>90</v>
      </c>
    </row>
    <row r="16" spans="1:6" x14ac:dyDescent="0.25">
      <c r="A16">
        <v>78</v>
      </c>
      <c r="B16" t="s">
        <v>227</v>
      </c>
      <c r="C16" s="93" t="s">
        <v>359</v>
      </c>
      <c r="D16" s="77">
        <v>88</v>
      </c>
      <c r="E16" s="77">
        <v>88</v>
      </c>
      <c r="F16" s="77">
        <v>89</v>
      </c>
    </row>
    <row r="17" spans="1:6" s="3" customFormat="1" x14ac:dyDescent="0.25">
      <c r="A17" s="3">
        <v>79</v>
      </c>
      <c r="B17" s="3" t="s">
        <v>225</v>
      </c>
      <c r="C17" s="93" t="s">
        <v>360</v>
      </c>
      <c r="D17" s="83">
        <v>73</v>
      </c>
      <c r="E17" s="83">
        <v>70</v>
      </c>
      <c r="F17" s="83">
        <v>76</v>
      </c>
    </row>
    <row r="18" spans="1:6" s="3" customFormat="1" x14ac:dyDescent="0.25">
      <c r="A18" s="3">
        <v>80</v>
      </c>
      <c r="B18" s="3" t="s">
        <v>227</v>
      </c>
      <c r="C18" s="92" t="s">
        <v>361</v>
      </c>
      <c r="D18" s="83">
        <v>91</v>
      </c>
      <c r="E18" s="83">
        <v>91</v>
      </c>
      <c r="F18" s="83">
        <v>92</v>
      </c>
    </row>
    <row r="19" spans="1:6" s="3" customFormat="1" x14ac:dyDescent="0.25">
      <c r="A19" s="3">
        <v>86</v>
      </c>
      <c r="B19" s="3" t="s">
        <v>229</v>
      </c>
      <c r="C19" s="92" t="s">
        <v>367</v>
      </c>
      <c r="D19" s="83">
        <v>76</v>
      </c>
      <c r="E19" s="83">
        <v>74</v>
      </c>
      <c r="F19" s="83">
        <v>79</v>
      </c>
    </row>
    <row r="20" spans="1:6" s="3" customFormat="1" x14ac:dyDescent="0.25">
      <c r="A20" s="3">
        <v>87</v>
      </c>
      <c r="B20" s="3" t="s">
        <v>224</v>
      </c>
      <c r="C20" s="92" t="s">
        <v>368</v>
      </c>
      <c r="D20" s="83">
        <v>81</v>
      </c>
      <c r="E20" s="83">
        <v>79</v>
      </c>
      <c r="F20" s="83">
        <v>83</v>
      </c>
    </row>
    <row r="21" spans="1:6" s="3" customFormat="1" x14ac:dyDescent="0.25">
      <c r="A21" s="3">
        <v>90</v>
      </c>
      <c r="B21" s="3" t="s">
        <v>227</v>
      </c>
      <c r="C21" s="92" t="s">
        <v>371</v>
      </c>
      <c r="D21" s="83">
        <v>88</v>
      </c>
      <c r="E21" s="83">
        <v>88</v>
      </c>
      <c r="F21" s="83">
        <v>89</v>
      </c>
    </row>
    <row r="22" spans="1:6" s="3" customFormat="1" x14ac:dyDescent="0.25">
      <c r="A22" s="3">
        <v>91</v>
      </c>
      <c r="B22" s="3" t="s">
        <v>227</v>
      </c>
      <c r="C22" s="92" t="s">
        <v>372</v>
      </c>
      <c r="D22" s="83">
        <v>87</v>
      </c>
      <c r="E22" s="83">
        <v>88</v>
      </c>
      <c r="F22" s="83">
        <v>89</v>
      </c>
    </row>
    <row r="23" spans="1:6" s="3" customFormat="1" x14ac:dyDescent="0.25">
      <c r="A23" s="3">
        <v>92</v>
      </c>
      <c r="B23" s="3" t="s">
        <v>227</v>
      </c>
      <c r="C23" s="92" t="s">
        <v>373</v>
      </c>
      <c r="D23" s="83">
        <v>90</v>
      </c>
      <c r="E23" s="83">
        <v>90</v>
      </c>
      <c r="F23" s="83">
        <v>91</v>
      </c>
    </row>
    <row r="24" spans="1:6" s="3" customFormat="1" x14ac:dyDescent="0.25">
      <c r="A24" s="3">
        <v>99</v>
      </c>
      <c r="B24" s="3" t="s">
        <v>225</v>
      </c>
      <c r="C24" s="92" t="s">
        <v>380</v>
      </c>
      <c r="D24" s="83">
        <v>77</v>
      </c>
      <c r="E24" s="83">
        <v>75</v>
      </c>
      <c r="F24" s="83">
        <v>80</v>
      </c>
    </row>
    <row r="25" spans="1:6" s="3" customFormat="1" x14ac:dyDescent="0.25">
      <c r="A25" s="3">
        <v>100</v>
      </c>
      <c r="B25" s="3" t="s">
        <v>229</v>
      </c>
      <c r="C25" s="92" t="s">
        <v>381</v>
      </c>
      <c r="D25" s="83">
        <v>75</v>
      </c>
      <c r="E25" s="83">
        <v>73</v>
      </c>
      <c r="F25" s="83">
        <v>78</v>
      </c>
    </row>
    <row r="26" spans="1:6" s="3" customFormat="1" x14ac:dyDescent="0.25">
      <c r="A26" s="3">
        <v>101</v>
      </c>
      <c r="B26" s="3" t="s">
        <v>224</v>
      </c>
      <c r="C26" s="92" t="s">
        <v>382</v>
      </c>
      <c r="D26" s="83">
        <v>80</v>
      </c>
      <c r="E26" s="83">
        <v>78</v>
      </c>
      <c r="F26" s="83">
        <v>82</v>
      </c>
    </row>
    <row r="27" spans="1:6" s="3" customFormat="1" x14ac:dyDescent="0.25">
      <c r="A27" s="3">
        <v>104</v>
      </c>
      <c r="B27" s="3" t="s">
        <v>227</v>
      </c>
      <c r="C27" s="92" t="s">
        <v>385</v>
      </c>
      <c r="D27" s="83">
        <v>90</v>
      </c>
      <c r="E27" s="83">
        <v>90</v>
      </c>
      <c r="F27" s="83">
        <v>91</v>
      </c>
    </row>
    <row r="28" spans="1:6" s="3" customFormat="1" x14ac:dyDescent="0.25">
      <c r="A28" s="3">
        <v>105</v>
      </c>
      <c r="B28" s="3" t="s">
        <v>227</v>
      </c>
      <c r="C28" s="92" t="s">
        <v>386</v>
      </c>
      <c r="D28" s="83">
        <v>91</v>
      </c>
      <c r="E28" s="83">
        <v>91</v>
      </c>
      <c r="F28" s="83">
        <v>92</v>
      </c>
    </row>
    <row r="29" spans="1:6" s="3" customFormat="1" x14ac:dyDescent="0.25">
      <c r="A29" s="3">
        <v>110</v>
      </c>
      <c r="B29" s="3" t="s">
        <v>229</v>
      </c>
      <c r="C29" s="92" t="s">
        <v>391</v>
      </c>
      <c r="D29" s="83">
        <v>79</v>
      </c>
      <c r="E29" s="83">
        <v>77</v>
      </c>
      <c r="F29" s="83">
        <v>82</v>
      </c>
    </row>
    <row r="30" spans="1:6" x14ac:dyDescent="0.25">
      <c r="A30">
        <v>114</v>
      </c>
      <c r="B30" t="s">
        <v>227</v>
      </c>
      <c r="C30" s="92" t="s">
        <v>395</v>
      </c>
      <c r="D30" s="77">
        <v>88</v>
      </c>
      <c r="E30" s="77">
        <v>88</v>
      </c>
      <c r="F30" s="77">
        <v>89</v>
      </c>
    </row>
    <row r="31" spans="1:6" x14ac:dyDescent="0.25">
      <c r="A31">
        <v>115</v>
      </c>
      <c r="B31" t="s">
        <v>227</v>
      </c>
      <c r="C31" s="92" t="s">
        <v>396</v>
      </c>
      <c r="D31" s="77">
        <v>89</v>
      </c>
      <c r="E31" s="77">
        <v>89</v>
      </c>
      <c r="F31" s="77">
        <v>90</v>
      </c>
    </row>
    <row r="32" spans="1:6" x14ac:dyDescent="0.25">
      <c r="A32">
        <v>118</v>
      </c>
      <c r="B32" t="s">
        <v>227</v>
      </c>
      <c r="C32" s="93" t="s">
        <v>399</v>
      </c>
      <c r="D32" s="77">
        <v>87</v>
      </c>
      <c r="E32" s="77">
        <v>88</v>
      </c>
      <c r="F32" s="77">
        <v>89</v>
      </c>
    </row>
    <row r="33" spans="1:6" x14ac:dyDescent="0.25">
      <c r="A33">
        <v>121</v>
      </c>
      <c r="B33" t="s">
        <v>229</v>
      </c>
      <c r="C33" s="93" t="s">
        <v>402</v>
      </c>
      <c r="D33" s="77">
        <v>78</v>
      </c>
      <c r="E33" s="77">
        <v>77</v>
      </c>
      <c r="F33" s="77">
        <v>82</v>
      </c>
    </row>
    <row r="34" spans="1:6" x14ac:dyDescent="0.25">
      <c r="A34">
        <v>127</v>
      </c>
      <c r="B34" t="s">
        <v>227</v>
      </c>
      <c r="C34" s="92" t="s">
        <v>408</v>
      </c>
      <c r="D34" s="77">
        <v>88</v>
      </c>
      <c r="E34" s="77">
        <v>88</v>
      </c>
      <c r="F34" s="77">
        <v>89</v>
      </c>
    </row>
    <row r="35" spans="1:6" x14ac:dyDescent="0.25">
      <c r="A35">
        <v>128</v>
      </c>
      <c r="B35" t="s">
        <v>227</v>
      </c>
      <c r="C35" s="92" t="s">
        <v>409</v>
      </c>
      <c r="D35" s="77">
        <v>86</v>
      </c>
      <c r="E35" s="77">
        <v>86</v>
      </c>
      <c r="F35" s="77">
        <v>87</v>
      </c>
    </row>
    <row r="36" spans="1:6" x14ac:dyDescent="0.25">
      <c r="A36">
        <v>131</v>
      </c>
      <c r="B36" t="s">
        <v>227</v>
      </c>
      <c r="C36" s="92" t="s">
        <v>412</v>
      </c>
      <c r="D36" s="77">
        <v>85</v>
      </c>
      <c r="E36" s="77">
        <v>85</v>
      </c>
      <c r="F36" s="77">
        <v>86</v>
      </c>
    </row>
    <row r="37" spans="1:6" x14ac:dyDescent="0.25">
      <c r="A37">
        <v>135</v>
      </c>
      <c r="B37" t="s">
        <v>229</v>
      </c>
      <c r="C37" s="92" t="s">
        <v>416</v>
      </c>
      <c r="D37" s="77">
        <v>75</v>
      </c>
      <c r="E37" s="77">
        <v>73</v>
      </c>
      <c r="F37" s="77">
        <v>78</v>
      </c>
    </row>
    <row r="38" spans="1:6" x14ac:dyDescent="0.25">
      <c r="A38">
        <v>138</v>
      </c>
      <c r="B38" t="s">
        <v>229</v>
      </c>
      <c r="C38" s="92" t="s">
        <v>419</v>
      </c>
      <c r="D38" s="77">
        <v>77</v>
      </c>
      <c r="E38" s="77">
        <v>75</v>
      </c>
      <c r="F38" s="77">
        <v>80</v>
      </c>
    </row>
    <row r="39" spans="1:6" x14ac:dyDescent="0.25">
      <c r="A39">
        <v>141</v>
      </c>
      <c r="B39" t="s">
        <v>227</v>
      </c>
      <c r="C39" s="92" t="s">
        <v>422</v>
      </c>
      <c r="D39" s="77">
        <v>88</v>
      </c>
      <c r="E39" s="77">
        <v>88</v>
      </c>
      <c r="F39" s="77">
        <v>89</v>
      </c>
    </row>
    <row r="40" spans="1:6" x14ac:dyDescent="0.25">
      <c r="A40">
        <v>142</v>
      </c>
      <c r="B40" t="s">
        <v>227</v>
      </c>
      <c r="C40" s="92" t="s">
        <v>423</v>
      </c>
      <c r="D40" s="77">
        <v>90</v>
      </c>
      <c r="E40" s="77">
        <v>90</v>
      </c>
      <c r="F40" s="77">
        <v>91</v>
      </c>
    </row>
    <row r="41" spans="1:6" x14ac:dyDescent="0.25">
      <c r="A41">
        <v>147</v>
      </c>
      <c r="B41" t="s">
        <v>229</v>
      </c>
      <c r="C41" s="92" t="s">
        <v>428</v>
      </c>
      <c r="D41" s="77">
        <v>78</v>
      </c>
      <c r="E41" s="77">
        <v>77</v>
      </c>
      <c r="F41" s="77">
        <v>82</v>
      </c>
    </row>
    <row r="42" spans="1:6" x14ac:dyDescent="0.25">
      <c r="A42">
        <v>148</v>
      </c>
      <c r="B42" t="s">
        <v>230</v>
      </c>
      <c r="C42" s="92" t="s">
        <v>429</v>
      </c>
      <c r="D42" s="77">
        <v>79</v>
      </c>
      <c r="E42" s="77">
        <v>78</v>
      </c>
      <c r="F42" s="77">
        <v>81</v>
      </c>
    </row>
    <row r="43" spans="1:6" x14ac:dyDescent="0.25">
      <c r="A43">
        <v>152</v>
      </c>
      <c r="B43" t="s">
        <v>227</v>
      </c>
      <c r="C43" s="92" t="s">
        <v>433</v>
      </c>
      <c r="D43" s="77">
        <v>90</v>
      </c>
      <c r="E43" s="77">
        <v>90</v>
      </c>
      <c r="F43" s="77">
        <v>91</v>
      </c>
    </row>
    <row r="44" spans="1:6" x14ac:dyDescent="0.25">
      <c r="A44">
        <v>153</v>
      </c>
      <c r="B44" t="s">
        <v>227</v>
      </c>
      <c r="C44" s="92" t="s">
        <v>434</v>
      </c>
      <c r="D44" s="77">
        <v>92</v>
      </c>
      <c r="E44" s="77">
        <v>90</v>
      </c>
      <c r="F44" s="77">
        <v>91</v>
      </c>
    </row>
    <row r="45" spans="1:6" x14ac:dyDescent="0.25">
      <c r="A45">
        <v>157</v>
      </c>
      <c r="B45" t="s">
        <v>229</v>
      </c>
      <c r="C45" s="92" t="s">
        <v>438</v>
      </c>
      <c r="D45" s="77">
        <v>80</v>
      </c>
      <c r="E45" s="77">
        <v>79</v>
      </c>
      <c r="F45" s="77">
        <v>83</v>
      </c>
    </row>
    <row r="46" spans="1:6" x14ac:dyDescent="0.25">
      <c r="A46">
        <v>158</v>
      </c>
      <c r="B46" t="s">
        <v>229</v>
      </c>
      <c r="C46" s="92" t="s">
        <v>439</v>
      </c>
      <c r="D46" s="77">
        <v>80</v>
      </c>
      <c r="E46" s="77">
        <v>79</v>
      </c>
      <c r="F46" s="77">
        <v>83</v>
      </c>
    </row>
    <row r="47" spans="1:6" x14ac:dyDescent="0.25">
      <c r="A47">
        <v>162</v>
      </c>
      <c r="B47" t="s">
        <v>227</v>
      </c>
      <c r="C47" s="92" t="s">
        <v>443</v>
      </c>
      <c r="D47" s="77">
        <v>87</v>
      </c>
      <c r="E47" s="77">
        <v>88</v>
      </c>
      <c r="F47" s="77">
        <v>89</v>
      </c>
    </row>
    <row r="48" spans="1:6" x14ac:dyDescent="0.25">
      <c r="A48">
        <v>163</v>
      </c>
      <c r="B48" t="s">
        <v>227</v>
      </c>
      <c r="C48" s="93" t="s">
        <v>444</v>
      </c>
      <c r="D48" s="77">
        <v>88</v>
      </c>
      <c r="E48" s="77">
        <v>88</v>
      </c>
      <c r="F48" s="77">
        <v>89</v>
      </c>
    </row>
    <row r="49" spans="1:6" x14ac:dyDescent="0.25">
      <c r="A49">
        <v>166</v>
      </c>
      <c r="B49" t="s">
        <v>227</v>
      </c>
      <c r="C49" s="93" t="s">
        <v>447</v>
      </c>
      <c r="D49" s="77">
        <v>86</v>
      </c>
      <c r="E49" s="77">
        <v>88</v>
      </c>
      <c r="F49" s="77">
        <v>89</v>
      </c>
    </row>
    <row r="50" spans="1:6" x14ac:dyDescent="0.25">
      <c r="A50">
        <v>169</v>
      </c>
      <c r="B50" t="s">
        <v>229</v>
      </c>
      <c r="C50" s="92" t="s">
        <v>450</v>
      </c>
      <c r="D50" s="77">
        <v>77</v>
      </c>
      <c r="E50" s="77">
        <v>75</v>
      </c>
      <c r="F50" s="77">
        <v>80</v>
      </c>
    </row>
    <row r="51" spans="1:6" x14ac:dyDescent="0.25">
      <c r="A51">
        <v>171</v>
      </c>
      <c r="B51" t="s">
        <v>231</v>
      </c>
      <c r="C51" s="92" t="s">
        <v>452</v>
      </c>
      <c r="D51" s="77">
        <v>76</v>
      </c>
      <c r="E51" s="77">
        <v>74</v>
      </c>
      <c r="F51" s="77">
        <v>78</v>
      </c>
    </row>
    <row r="52" spans="1:6" x14ac:dyDescent="0.25">
      <c r="A52">
        <v>173</v>
      </c>
      <c r="B52" t="s">
        <v>229</v>
      </c>
      <c r="C52" s="92" t="s">
        <v>454</v>
      </c>
      <c r="D52" s="77">
        <v>72</v>
      </c>
      <c r="E52" s="77">
        <v>75</v>
      </c>
      <c r="F52" s="77">
        <v>80</v>
      </c>
    </row>
    <row r="53" spans="1:6" x14ac:dyDescent="0.25">
      <c r="A53">
        <v>176</v>
      </c>
      <c r="B53" t="s">
        <v>227</v>
      </c>
      <c r="C53" s="92" t="s">
        <v>457</v>
      </c>
      <c r="D53" s="77">
        <v>86</v>
      </c>
      <c r="E53" s="77">
        <v>88</v>
      </c>
      <c r="F53" s="77">
        <v>89</v>
      </c>
    </row>
    <row r="54" spans="1:6" x14ac:dyDescent="0.25">
      <c r="A54">
        <v>177</v>
      </c>
      <c r="B54" t="s">
        <v>227</v>
      </c>
      <c r="C54" s="92" t="s">
        <v>458</v>
      </c>
      <c r="D54" s="77">
        <v>87</v>
      </c>
      <c r="E54" s="77">
        <v>88</v>
      </c>
      <c r="F54" s="77">
        <v>89</v>
      </c>
    </row>
    <row r="55" spans="1:6" x14ac:dyDescent="0.25">
      <c r="A55">
        <v>180</v>
      </c>
      <c r="B55" t="s">
        <v>229</v>
      </c>
      <c r="C55" s="92" t="s">
        <v>461</v>
      </c>
      <c r="D55" s="77">
        <v>77</v>
      </c>
      <c r="E55" s="77">
        <v>75</v>
      </c>
      <c r="F55" s="77">
        <v>80</v>
      </c>
    </row>
    <row r="56" spans="1:6" x14ac:dyDescent="0.25">
      <c r="A56">
        <v>181</v>
      </c>
      <c r="B56" t="s">
        <v>229</v>
      </c>
      <c r="C56" s="92" t="s">
        <v>462</v>
      </c>
      <c r="D56" s="77">
        <v>78</v>
      </c>
      <c r="E56" s="77">
        <v>77</v>
      </c>
      <c r="F56" s="77">
        <v>82</v>
      </c>
    </row>
    <row r="57" spans="1:6" x14ac:dyDescent="0.25">
      <c r="A57">
        <v>184</v>
      </c>
      <c r="B57" t="s">
        <v>227</v>
      </c>
      <c r="C57" s="92" t="s">
        <v>465</v>
      </c>
      <c r="D57" s="77">
        <v>83</v>
      </c>
      <c r="E57" s="77">
        <v>85</v>
      </c>
      <c r="F57" s="77">
        <v>86</v>
      </c>
    </row>
    <row r="58" spans="1:6" x14ac:dyDescent="0.25">
      <c r="A58">
        <v>185</v>
      </c>
      <c r="B58" t="s">
        <v>227</v>
      </c>
      <c r="C58" s="92" t="s">
        <v>466</v>
      </c>
      <c r="D58" s="77">
        <v>84</v>
      </c>
      <c r="E58" s="77">
        <v>85</v>
      </c>
      <c r="F58" s="77">
        <v>86</v>
      </c>
    </row>
    <row r="59" spans="1:6" x14ac:dyDescent="0.25">
      <c r="A59">
        <v>188</v>
      </c>
      <c r="B59" t="s">
        <v>227</v>
      </c>
      <c r="C59" s="92" t="s">
        <v>469</v>
      </c>
      <c r="D59" s="77">
        <v>83</v>
      </c>
      <c r="E59" s="77">
        <v>85</v>
      </c>
      <c r="F59" s="77">
        <v>86</v>
      </c>
    </row>
    <row r="60" spans="1:6" x14ac:dyDescent="0.25">
      <c r="A60">
        <v>191</v>
      </c>
      <c r="B60" t="s">
        <v>229</v>
      </c>
      <c r="C60" s="92" t="s">
        <v>472</v>
      </c>
      <c r="D60" s="77">
        <v>73</v>
      </c>
      <c r="E60" s="77">
        <v>73</v>
      </c>
      <c r="F60" s="77">
        <v>78</v>
      </c>
    </row>
    <row r="61" spans="1:6" x14ac:dyDescent="0.25">
      <c r="A61">
        <v>193</v>
      </c>
      <c r="B61" t="s">
        <v>229</v>
      </c>
      <c r="C61" s="92" t="s">
        <v>474</v>
      </c>
      <c r="D61" s="77">
        <v>70</v>
      </c>
      <c r="E61" s="77">
        <v>73</v>
      </c>
      <c r="F61" s="77">
        <v>78</v>
      </c>
    </row>
    <row r="62" spans="1:6" x14ac:dyDescent="0.25">
      <c r="A62">
        <v>196</v>
      </c>
      <c r="B62" t="s">
        <v>227</v>
      </c>
      <c r="C62" s="92" t="s">
        <v>477</v>
      </c>
      <c r="D62" s="77">
        <v>88</v>
      </c>
      <c r="E62" s="77">
        <v>88</v>
      </c>
      <c r="F62" s="77">
        <v>89</v>
      </c>
    </row>
    <row r="63" spans="1:6" x14ac:dyDescent="0.25">
      <c r="A63">
        <v>197</v>
      </c>
      <c r="B63" t="s">
        <v>227</v>
      </c>
      <c r="C63" s="92" t="s">
        <v>478</v>
      </c>
      <c r="D63" s="77">
        <v>89</v>
      </c>
      <c r="E63" s="77">
        <v>88</v>
      </c>
      <c r="F63" s="77">
        <v>89</v>
      </c>
    </row>
    <row r="64" spans="1:6" x14ac:dyDescent="0.25">
      <c r="A64">
        <v>200</v>
      </c>
      <c r="B64" t="s">
        <v>227</v>
      </c>
      <c r="C64" s="93" t="s">
        <v>481</v>
      </c>
      <c r="D64" s="77">
        <v>87</v>
      </c>
      <c r="E64" s="77">
        <v>88</v>
      </c>
      <c r="F64" s="77">
        <v>89</v>
      </c>
    </row>
    <row r="65" spans="1:6" x14ac:dyDescent="0.25">
      <c r="A65">
        <v>203</v>
      </c>
      <c r="B65" t="s">
        <v>229</v>
      </c>
      <c r="C65" s="93" t="s">
        <v>484</v>
      </c>
      <c r="D65" s="77">
        <v>79</v>
      </c>
      <c r="E65" s="77">
        <v>78</v>
      </c>
      <c r="F65" s="77">
        <v>81</v>
      </c>
    </row>
    <row r="66" spans="1:6" x14ac:dyDescent="0.25">
      <c r="A66">
        <v>205</v>
      </c>
      <c r="B66" t="s">
        <v>229</v>
      </c>
      <c r="C66" s="92" t="s">
        <v>486</v>
      </c>
      <c r="D66" s="77">
        <v>70</v>
      </c>
      <c r="E66" s="77">
        <v>73</v>
      </c>
      <c r="F66" s="77">
        <v>78</v>
      </c>
    </row>
    <row r="67" spans="1:6" x14ac:dyDescent="0.25">
      <c r="A67">
        <v>214</v>
      </c>
      <c r="B67" t="s">
        <v>231</v>
      </c>
      <c r="C67" s="92" t="s">
        <v>495</v>
      </c>
      <c r="D67" s="77">
        <v>75</v>
      </c>
      <c r="E67" s="77">
        <v>73</v>
      </c>
      <c r="F67" s="77">
        <v>78</v>
      </c>
    </row>
    <row r="68" spans="1:6" x14ac:dyDescent="0.25">
      <c r="A68">
        <v>216</v>
      </c>
      <c r="B68" t="s">
        <v>227</v>
      </c>
      <c r="C68" s="92" t="s">
        <v>497</v>
      </c>
      <c r="D68" s="77">
        <v>85</v>
      </c>
      <c r="E68" s="77">
        <v>85</v>
      </c>
      <c r="F68" s="77">
        <v>86</v>
      </c>
    </row>
    <row r="69" spans="1:6" x14ac:dyDescent="0.25">
      <c r="A69">
        <v>220</v>
      </c>
      <c r="B69" t="s">
        <v>231</v>
      </c>
      <c r="C69" s="92" t="s">
        <v>501</v>
      </c>
      <c r="D69" s="77">
        <v>75</v>
      </c>
      <c r="E69" s="77">
        <v>73</v>
      </c>
      <c r="F69" s="77">
        <v>77</v>
      </c>
    </row>
    <row r="70" spans="1:6" x14ac:dyDescent="0.25">
      <c r="A70">
        <v>223</v>
      </c>
      <c r="B70" t="s">
        <v>231</v>
      </c>
      <c r="C70" s="92" t="s">
        <v>504</v>
      </c>
      <c r="D70" s="77">
        <v>70</v>
      </c>
      <c r="E70" s="77">
        <v>73</v>
      </c>
      <c r="F70" s="77">
        <v>77</v>
      </c>
    </row>
    <row r="71" spans="1:6" x14ac:dyDescent="0.25">
      <c r="A71">
        <v>224</v>
      </c>
      <c r="B71" t="s">
        <v>241</v>
      </c>
      <c r="C71" s="92" t="s">
        <v>505</v>
      </c>
      <c r="D71" s="77">
        <v>75</v>
      </c>
      <c r="E71" s="77">
        <v>75</v>
      </c>
      <c r="F71" s="77">
        <v>77</v>
      </c>
    </row>
    <row r="72" spans="1:6" x14ac:dyDescent="0.25">
      <c r="A72">
        <v>227</v>
      </c>
      <c r="B72" t="s">
        <v>231</v>
      </c>
      <c r="C72" s="92" t="s">
        <v>508</v>
      </c>
      <c r="D72" s="77">
        <v>65</v>
      </c>
      <c r="E72" s="77">
        <v>70</v>
      </c>
      <c r="F72" s="77">
        <v>75</v>
      </c>
    </row>
    <row r="73" spans="1:6" x14ac:dyDescent="0.25">
      <c r="A73">
        <v>229</v>
      </c>
      <c r="B73" t="s">
        <v>245</v>
      </c>
      <c r="C73" s="92" t="s">
        <v>510</v>
      </c>
      <c r="D73" s="77">
        <v>100</v>
      </c>
      <c r="E73" s="77">
        <v>100</v>
      </c>
      <c r="F73" s="77">
        <v>100</v>
      </c>
    </row>
    <row r="74" spans="1:6" x14ac:dyDescent="0.25">
      <c r="A74">
        <v>230</v>
      </c>
      <c r="B74" t="s">
        <v>295</v>
      </c>
      <c r="C74" s="92" t="s">
        <v>511</v>
      </c>
      <c r="D74" s="77">
        <v>100</v>
      </c>
      <c r="E74" s="77">
        <v>100</v>
      </c>
      <c r="F74" s="77">
        <v>100</v>
      </c>
    </row>
    <row r="75" spans="1:6" x14ac:dyDescent="0.25">
      <c r="A75">
        <v>231</v>
      </c>
      <c r="B75" t="s">
        <v>246</v>
      </c>
      <c r="C75" s="92" t="s">
        <v>512</v>
      </c>
      <c r="D75" s="77">
        <v>100</v>
      </c>
      <c r="E75" s="77">
        <v>100</v>
      </c>
      <c r="F75" s="77">
        <v>100</v>
      </c>
    </row>
    <row r="76" spans="1:6" x14ac:dyDescent="0.25">
      <c r="A76">
        <v>232</v>
      </c>
      <c r="B76" t="s">
        <v>247</v>
      </c>
      <c r="C76" s="92" t="s">
        <v>513</v>
      </c>
      <c r="D76" s="77">
        <v>100</v>
      </c>
      <c r="E76" s="77">
        <v>100</v>
      </c>
      <c r="F76" s="77">
        <v>100</v>
      </c>
    </row>
    <row r="77" spans="1:6" x14ac:dyDescent="0.25">
      <c r="A77">
        <v>233</v>
      </c>
      <c r="B77" t="s">
        <v>248</v>
      </c>
      <c r="C77" s="92" t="s">
        <v>514</v>
      </c>
      <c r="D77" s="77">
        <v>85</v>
      </c>
      <c r="E77" s="77">
        <v>86</v>
      </c>
      <c r="F77" s="77">
        <v>87</v>
      </c>
    </row>
    <row r="78" spans="1:6" x14ac:dyDescent="0.25">
      <c r="A78">
        <v>234</v>
      </c>
      <c r="B78" t="s">
        <v>249</v>
      </c>
      <c r="C78" s="92" t="s">
        <v>515</v>
      </c>
      <c r="D78" s="77">
        <v>100</v>
      </c>
      <c r="E78" s="77">
        <v>100</v>
      </c>
      <c r="F78" s="77">
        <v>100</v>
      </c>
    </row>
    <row r="81" spans="3:3" x14ac:dyDescent="0.25">
      <c r="C81" s="81"/>
    </row>
  </sheetData>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D6E2-A093-403C-960A-0C97D5F9EA15}">
  <dimension ref="A1:F27"/>
  <sheetViews>
    <sheetView zoomScale="90" zoomScaleNormal="90" workbookViewId="0">
      <selection activeCell="C26" sqref="C26"/>
    </sheetView>
  </sheetViews>
  <sheetFormatPr baseColWidth="10" defaultColWidth="9.140625" defaultRowHeight="15" x14ac:dyDescent="0.25"/>
  <cols>
    <col min="1" max="1" width="15" customWidth="1"/>
    <col min="2" max="3" width="30" customWidth="1"/>
    <col min="4" max="4" width="20" customWidth="1"/>
    <col min="5" max="7" width="30" customWidth="1"/>
  </cols>
  <sheetData>
    <row r="1" spans="1:6" x14ac:dyDescent="0.25">
      <c r="A1" s="73" t="s">
        <v>0</v>
      </c>
      <c r="B1" s="73" t="s">
        <v>557</v>
      </c>
      <c r="C1" s="73" t="s">
        <v>558</v>
      </c>
      <c r="D1" s="73" t="s">
        <v>560</v>
      </c>
      <c r="E1" s="73" t="s">
        <v>561</v>
      </c>
      <c r="F1" s="73" t="s">
        <v>296</v>
      </c>
    </row>
    <row r="2" spans="1:6" x14ac:dyDescent="0.25">
      <c r="A2">
        <v>42</v>
      </c>
      <c r="B2" t="s">
        <v>222</v>
      </c>
      <c r="C2" t="s">
        <v>563</v>
      </c>
      <c r="D2" s="82">
        <v>2.8</v>
      </c>
      <c r="E2" s="82">
        <v>2.5</v>
      </c>
      <c r="F2" s="82">
        <v>3.5</v>
      </c>
    </row>
    <row r="3" spans="1:6" x14ac:dyDescent="0.25">
      <c r="A3">
        <v>44</v>
      </c>
      <c r="B3" t="s">
        <v>222</v>
      </c>
      <c r="C3" t="s">
        <v>564</v>
      </c>
      <c r="D3" s="82">
        <v>3.1</v>
      </c>
      <c r="E3" s="82">
        <v>2.5</v>
      </c>
      <c r="F3" s="82">
        <v>3.5</v>
      </c>
    </row>
    <row r="4" spans="1:6" x14ac:dyDescent="0.25">
      <c r="A4">
        <v>55</v>
      </c>
      <c r="B4" t="s">
        <v>222</v>
      </c>
      <c r="C4" t="s">
        <v>565</v>
      </c>
      <c r="D4" s="82">
        <v>2.9</v>
      </c>
      <c r="E4" s="82">
        <v>2.5</v>
      </c>
      <c r="F4" s="82">
        <v>3.5</v>
      </c>
    </row>
    <row r="5" spans="1:6" x14ac:dyDescent="0.25">
      <c r="A5">
        <v>69</v>
      </c>
      <c r="B5" t="s">
        <v>222</v>
      </c>
      <c r="C5" t="s">
        <v>566</v>
      </c>
      <c r="D5" s="82">
        <v>2.8</v>
      </c>
      <c r="E5" s="82">
        <v>2.6</v>
      </c>
      <c r="F5" s="82">
        <v>3.6</v>
      </c>
    </row>
    <row r="6" spans="1:6" x14ac:dyDescent="0.25">
      <c r="A6">
        <v>71</v>
      </c>
      <c r="B6" t="s">
        <v>222</v>
      </c>
      <c r="C6" t="s">
        <v>567</v>
      </c>
      <c r="D6" s="82">
        <v>3.2</v>
      </c>
      <c r="E6" s="82">
        <v>2.5</v>
      </c>
      <c r="F6" s="82">
        <v>3.5</v>
      </c>
    </row>
    <row r="7" spans="1:6" x14ac:dyDescent="0.25">
      <c r="A7">
        <v>83</v>
      </c>
      <c r="B7" t="s">
        <v>222</v>
      </c>
      <c r="C7" t="s">
        <v>568</v>
      </c>
      <c r="D7" s="82">
        <v>2.9</v>
      </c>
      <c r="E7" s="82">
        <v>2.6</v>
      </c>
      <c r="F7" s="82">
        <v>3.6</v>
      </c>
    </row>
    <row r="8" spans="1:6" x14ac:dyDescent="0.25">
      <c r="A8">
        <v>85</v>
      </c>
      <c r="B8" t="s">
        <v>222</v>
      </c>
      <c r="C8" t="s">
        <v>569</v>
      </c>
      <c r="D8" s="82">
        <v>3.3</v>
      </c>
      <c r="E8" s="82">
        <v>2.5</v>
      </c>
      <c r="F8" s="82">
        <v>3.5</v>
      </c>
    </row>
    <row r="9" spans="1:6" x14ac:dyDescent="0.25">
      <c r="A9">
        <v>95</v>
      </c>
      <c r="B9" t="s">
        <v>222</v>
      </c>
      <c r="C9" t="s">
        <v>570</v>
      </c>
      <c r="D9" s="82">
        <v>2.8</v>
      </c>
      <c r="E9" s="82">
        <v>2.7</v>
      </c>
      <c r="F9" s="82">
        <v>3.7</v>
      </c>
    </row>
    <row r="10" spans="1:6" x14ac:dyDescent="0.25">
      <c r="A10">
        <v>97</v>
      </c>
      <c r="B10" t="s">
        <v>222</v>
      </c>
      <c r="C10" t="s">
        <v>571</v>
      </c>
      <c r="D10" s="82">
        <v>3.2</v>
      </c>
      <c r="E10" s="82">
        <v>2.6</v>
      </c>
      <c r="F10" s="82">
        <v>3.6</v>
      </c>
    </row>
    <row r="11" spans="1:6" x14ac:dyDescent="0.25">
      <c r="A11">
        <v>108</v>
      </c>
      <c r="B11" t="s">
        <v>222</v>
      </c>
      <c r="C11" t="s">
        <v>572</v>
      </c>
      <c r="D11" s="82">
        <v>3.3</v>
      </c>
      <c r="E11" s="82">
        <v>2.7</v>
      </c>
      <c r="F11" s="82">
        <v>3.7</v>
      </c>
    </row>
    <row r="12" spans="1:6" x14ac:dyDescent="0.25">
      <c r="A12">
        <v>119</v>
      </c>
      <c r="B12" t="s">
        <v>222</v>
      </c>
      <c r="C12" t="s">
        <v>573</v>
      </c>
      <c r="D12" s="82">
        <v>3.2</v>
      </c>
      <c r="E12" s="82">
        <v>3</v>
      </c>
      <c r="F12" s="82">
        <v>4</v>
      </c>
    </row>
    <row r="13" spans="1:6" x14ac:dyDescent="0.25">
      <c r="A13">
        <v>125</v>
      </c>
      <c r="B13" t="s">
        <v>222</v>
      </c>
      <c r="C13" t="s">
        <v>574</v>
      </c>
      <c r="D13" s="82">
        <v>3.5</v>
      </c>
      <c r="E13" s="82">
        <v>3</v>
      </c>
      <c r="F13" s="82">
        <v>4</v>
      </c>
    </row>
    <row r="14" spans="1:6" x14ac:dyDescent="0.25">
      <c r="A14">
        <v>132</v>
      </c>
      <c r="B14" t="s">
        <v>222</v>
      </c>
      <c r="C14" t="s">
        <v>575</v>
      </c>
      <c r="D14" s="82">
        <v>3.5</v>
      </c>
      <c r="E14" s="82">
        <v>3</v>
      </c>
      <c r="F14" s="82">
        <v>4</v>
      </c>
    </row>
    <row r="15" spans="1:6" s="41" customFormat="1" x14ac:dyDescent="0.25">
      <c r="A15" s="41">
        <v>137</v>
      </c>
      <c r="B15" s="41" t="s">
        <v>222</v>
      </c>
      <c r="C15" s="41" t="s">
        <v>576</v>
      </c>
      <c r="D15" s="85">
        <v>3.7</v>
      </c>
      <c r="E15" s="85">
        <v>3</v>
      </c>
      <c r="F15" s="85">
        <v>4</v>
      </c>
    </row>
    <row r="16" spans="1:6" s="41" customFormat="1" x14ac:dyDescent="0.25">
      <c r="A16" s="41">
        <v>145</v>
      </c>
      <c r="B16" s="41" t="s">
        <v>222</v>
      </c>
      <c r="C16" s="41" t="s">
        <v>577</v>
      </c>
      <c r="D16" s="85">
        <v>3.3</v>
      </c>
      <c r="E16" s="85">
        <v>2.8</v>
      </c>
      <c r="F16" s="85">
        <v>2.7</v>
      </c>
    </row>
    <row r="17" spans="1:6" s="41" customFormat="1" x14ac:dyDescent="0.25">
      <c r="A17" s="41">
        <v>151</v>
      </c>
      <c r="B17" s="41" t="s">
        <v>222</v>
      </c>
      <c r="C17" s="41" t="s">
        <v>578</v>
      </c>
      <c r="D17" s="85">
        <v>3.6</v>
      </c>
      <c r="E17" s="85">
        <v>2.9</v>
      </c>
      <c r="F17" s="85">
        <v>3.9</v>
      </c>
    </row>
    <row r="18" spans="1:6" s="41" customFormat="1" x14ac:dyDescent="0.25">
      <c r="A18" s="41">
        <v>167</v>
      </c>
      <c r="B18" s="41" t="s">
        <v>222</v>
      </c>
      <c r="C18" s="41" t="s">
        <v>579</v>
      </c>
      <c r="D18" s="85">
        <v>3.7</v>
      </c>
      <c r="E18" s="85">
        <v>3</v>
      </c>
      <c r="F18" s="85">
        <v>4</v>
      </c>
    </row>
    <row r="19" spans="1:6" s="41" customFormat="1" x14ac:dyDescent="0.25">
      <c r="A19" s="41">
        <v>189</v>
      </c>
      <c r="B19" s="41" t="s">
        <v>222</v>
      </c>
      <c r="C19" s="41" t="s">
        <v>580</v>
      </c>
      <c r="D19" s="85">
        <v>3.7</v>
      </c>
      <c r="E19" s="85">
        <v>3</v>
      </c>
      <c r="F19" s="85">
        <v>4</v>
      </c>
    </row>
    <row r="20" spans="1:6" s="41" customFormat="1" x14ac:dyDescent="0.25">
      <c r="A20" s="41">
        <v>201</v>
      </c>
      <c r="B20" s="41" t="s">
        <v>222</v>
      </c>
      <c r="C20" s="41" t="s">
        <v>232</v>
      </c>
      <c r="D20" s="85">
        <v>3.7</v>
      </c>
      <c r="E20" s="85">
        <v>3</v>
      </c>
      <c r="F20" s="85">
        <v>4</v>
      </c>
    </row>
    <row r="21" spans="1:6" s="41" customFormat="1" x14ac:dyDescent="0.25">
      <c r="A21" s="41">
        <v>210</v>
      </c>
      <c r="B21" s="41" t="s">
        <v>236</v>
      </c>
      <c r="C21" s="41" t="s">
        <v>581</v>
      </c>
      <c r="D21" s="85">
        <v>2.5</v>
      </c>
      <c r="E21" s="85">
        <v>2</v>
      </c>
      <c r="F21" s="85">
        <v>3</v>
      </c>
    </row>
    <row r="22" spans="1:6" s="41" customFormat="1" x14ac:dyDescent="0.25">
      <c r="A22" s="41">
        <v>218</v>
      </c>
      <c r="B22" s="41" t="s">
        <v>236</v>
      </c>
      <c r="C22" s="41" t="s">
        <v>582</v>
      </c>
      <c r="D22" s="85">
        <v>2</v>
      </c>
      <c r="E22" s="41">
        <v>1.5</v>
      </c>
      <c r="F22" s="41">
        <v>2.2999999999999998</v>
      </c>
    </row>
    <row r="23" spans="1:6" s="41" customFormat="1" x14ac:dyDescent="0.25">
      <c r="A23" s="41">
        <v>222</v>
      </c>
      <c r="B23" s="41" t="s">
        <v>240</v>
      </c>
      <c r="C23" s="41" t="s">
        <v>503</v>
      </c>
      <c r="D23" s="85">
        <v>2.5</v>
      </c>
      <c r="E23" s="41">
        <v>2.2999999999999998</v>
      </c>
      <c r="F23" s="41">
        <v>3.3</v>
      </c>
    </row>
    <row r="24" spans="1:6" s="41" customFormat="1" x14ac:dyDescent="0.25"/>
    <row r="25" spans="1:6" s="41" customFormat="1" x14ac:dyDescent="0.25"/>
    <row r="26" spans="1:6" s="41" customFormat="1" x14ac:dyDescent="0.25"/>
    <row r="27" spans="1:6" s="41" customFormat="1" x14ac:dyDescent="0.25"/>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2752-8021-43C5-8193-20EA2BC3E537}">
  <dimension ref="A1:F38"/>
  <sheetViews>
    <sheetView zoomScale="90" zoomScaleNormal="90" workbookViewId="0">
      <selection activeCell="C40" sqref="C40"/>
    </sheetView>
  </sheetViews>
  <sheetFormatPr baseColWidth="10" defaultColWidth="9.140625" defaultRowHeight="15" x14ac:dyDescent="0.25"/>
  <cols>
    <col min="1" max="1" width="15" customWidth="1"/>
    <col min="2" max="2" width="50" customWidth="1"/>
    <col min="3" max="3" width="25.7109375" bestFit="1" customWidth="1"/>
    <col min="4" max="4" width="16" customWidth="1"/>
    <col min="5" max="5" width="25.5703125" bestFit="1" customWidth="1"/>
    <col min="6" max="7" width="25" customWidth="1"/>
  </cols>
  <sheetData>
    <row r="1" spans="1:6" x14ac:dyDescent="0.25">
      <c r="A1" s="73" t="s">
        <v>0</v>
      </c>
      <c r="B1" s="73" t="s">
        <v>557</v>
      </c>
      <c r="C1" s="73" t="s">
        <v>558</v>
      </c>
      <c r="D1" s="73" t="s">
        <v>297</v>
      </c>
      <c r="E1" s="73" t="s">
        <v>562</v>
      </c>
      <c r="F1" s="73" t="s">
        <v>298</v>
      </c>
    </row>
    <row r="2" spans="1:6" x14ac:dyDescent="0.25">
      <c r="A2">
        <v>235</v>
      </c>
      <c r="B2" t="s">
        <v>251</v>
      </c>
      <c r="C2" t="s">
        <v>516</v>
      </c>
      <c r="D2" s="77">
        <v>56.000000000000007</v>
      </c>
      <c r="E2" s="77">
        <v>59</v>
      </c>
      <c r="F2" s="77">
        <v>62</v>
      </c>
    </row>
    <row r="3" spans="1:6" x14ac:dyDescent="0.25">
      <c r="A3">
        <v>236</v>
      </c>
      <c r="B3" t="s">
        <v>252</v>
      </c>
      <c r="C3" t="s">
        <v>517</v>
      </c>
      <c r="D3" s="77">
        <v>56.000000000000007</v>
      </c>
      <c r="E3" s="77">
        <v>59</v>
      </c>
      <c r="F3" s="77">
        <v>62</v>
      </c>
    </row>
    <row r="4" spans="1:6" x14ac:dyDescent="0.25">
      <c r="A4">
        <v>237</v>
      </c>
      <c r="B4" t="s">
        <v>253</v>
      </c>
      <c r="C4" t="s">
        <v>518</v>
      </c>
      <c r="D4" s="77">
        <v>60</v>
      </c>
      <c r="E4" s="77">
        <v>61.5</v>
      </c>
      <c r="F4" s="77">
        <v>63</v>
      </c>
    </row>
    <row r="5" spans="1:6" x14ac:dyDescent="0.25">
      <c r="A5">
        <v>238</v>
      </c>
      <c r="B5" t="s">
        <v>254</v>
      </c>
      <c r="C5" t="s">
        <v>519</v>
      </c>
      <c r="D5" s="77">
        <v>48</v>
      </c>
      <c r="E5" s="77">
        <v>49.5</v>
      </c>
      <c r="F5" s="77">
        <v>50</v>
      </c>
    </row>
    <row r="6" spans="1:6" x14ac:dyDescent="0.25">
      <c r="A6">
        <v>239</v>
      </c>
      <c r="B6" t="s">
        <v>255</v>
      </c>
      <c r="C6" t="s">
        <v>520</v>
      </c>
      <c r="D6" s="77">
        <v>22</v>
      </c>
      <c r="E6" s="77">
        <v>28</v>
      </c>
      <c r="F6" s="77">
        <v>35</v>
      </c>
    </row>
    <row r="7" spans="1:6" x14ac:dyDescent="0.25">
      <c r="A7">
        <v>240</v>
      </c>
      <c r="B7" t="s">
        <v>256</v>
      </c>
      <c r="C7" t="s">
        <v>521</v>
      </c>
      <c r="D7" s="77">
        <v>36</v>
      </c>
      <c r="E7" s="77">
        <v>36</v>
      </c>
      <c r="F7" s="77">
        <v>36</v>
      </c>
    </row>
    <row r="8" spans="1:6" x14ac:dyDescent="0.25">
      <c r="A8">
        <v>241</v>
      </c>
      <c r="B8" t="s">
        <v>257</v>
      </c>
      <c r="C8" t="s">
        <v>522</v>
      </c>
      <c r="D8" s="77">
        <v>59</v>
      </c>
      <c r="E8" s="77">
        <v>59.5</v>
      </c>
      <c r="F8" s="77">
        <v>62</v>
      </c>
    </row>
    <row r="9" spans="1:6" x14ac:dyDescent="0.25">
      <c r="A9">
        <v>242</v>
      </c>
      <c r="B9" t="s">
        <v>258</v>
      </c>
      <c r="C9" t="s">
        <v>523</v>
      </c>
      <c r="D9" s="77">
        <v>93</v>
      </c>
      <c r="E9" s="77">
        <v>93.5</v>
      </c>
      <c r="F9" s="77">
        <v>94</v>
      </c>
    </row>
    <row r="10" spans="1:6" x14ac:dyDescent="0.25">
      <c r="A10">
        <v>243</v>
      </c>
      <c r="B10" t="s">
        <v>259</v>
      </c>
      <c r="C10" t="s">
        <v>524</v>
      </c>
      <c r="D10" s="77">
        <v>93</v>
      </c>
      <c r="E10" s="77">
        <v>93.5</v>
      </c>
      <c r="F10" s="77">
        <v>94</v>
      </c>
    </row>
    <row r="11" spans="1:6" x14ac:dyDescent="0.25">
      <c r="A11">
        <v>244</v>
      </c>
      <c r="B11" t="s">
        <v>260</v>
      </c>
      <c r="C11" t="s">
        <v>525</v>
      </c>
      <c r="D11" s="77">
        <v>93</v>
      </c>
      <c r="E11" s="77">
        <v>93.5</v>
      </c>
      <c r="F11" s="77">
        <v>94</v>
      </c>
    </row>
    <row r="12" spans="1:6" x14ac:dyDescent="0.25">
      <c r="A12">
        <v>245</v>
      </c>
      <c r="B12" t="s">
        <v>261</v>
      </c>
      <c r="C12" t="s">
        <v>526</v>
      </c>
      <c r="D12" s="77">
        <v>93</v>
      </c>
      <c r="E12" s="77">
        <v>93.5</v>
      </c>
      <c r="F12" s="77">
        <v>94</v>
      </c>
    </row>
    <row r="13" spans="1:6" x14ac:dyDescent="0.25">
      <c r="A13">
        <v>246</v>
      </c>
      <c r="B13" t="s">
        <v>262</v>
      </c>
      <c r="C13" t="s">
        <v>527</v>
      </c>
      <c r="D13" s="77">
        <v>71.5</v>
      </c>
      <c r="E13" s="77">
        <v>71.5</v>
      </c>
      <c r="F13" s="77">
        <v>71.5</v>
      </c>
    </row>
    <row r="14" spans="1:6" x14ac:dyDescent="0.25">
      <c r="A14">
        <v>247</v>
      </c>
      <c r="B14" t="s">
        <v>263</v>
      </c>
      <c r="C14" t="s">
        <v>528</v>
      </c>
      <c r="D14" s="77">
        <v>54.2</v>
      </c>
      <c r="E14" s="77">
        <v>54.2</v>
      </c>
      <c r="F14" s="77">
        <v>54.2</v>
      </c>
    </row>
    <row r="15" spans="1:6" x14ac:dyDescent="0.25">
      <c r="A15">
        <v>248</v>
      </c>
      <c r="B15" t="s">
        <v>264</v>
      </c>
      <c r="C15" t="s">
        <v>529</v>
      </c>
      <c r="D15" s="77">
        <v>71.5</v>
      </c>
      <c r="E15" s="77">
        <v>71.5</v>
      </c>
      <c r="F15" s="77">
        <v>71.5</v>
      </c>
    </row>
    <row r="16" spans="1:6" x14ac:dyDescent="0.25">
      <c r="A16">
        <v>249</v>
      </c>
      <c r="B16" t="s">
        <v>265</v>
      </c>
      <c r="C16" t="s">
        <v>530</v>
      </c>
      <c r="D16" s="77">
        <v>57.9</v>
      </c>
      <c r="E16" s="77">
        <v>57.9</v>
      </c>
      <c r="F16" s="77">
        <v>57.9</v>
      </c>
    </row>
    <row r="17" spans="1:6" x14ac:dyDescent="0.25">
      <c r="A17">
        <v>250</v>
      </c>
      <c r="B17" t="s">
        <v>266</v>
      </c>
      <c r="C17" t="s">
        <v>531</v>
      </c>
      <c r="D17" s="77">
        <v>71.5</v>
      </c>
      <c r="E17" s="77">
        <v>71.5</v>
      </c>
      <c r="F17" s="77">
        <v>71.5</v>
      </c>
    </row>
    <row r="18" spans="1:6" x14ac:dyDescent="0.25">
      <c r="A18">
        <v>251</v>
      </c>
      <c r="B18" t="s">
        <v>267</v>
      </c>
      <c r="C18" t="s">
        <v>532</v>
      </c>
      <c r="D18" s="77">
        <v>54.5</v>
      </c>
      <c r="E18" s="77">
        <v>54.5</v>
      </c>
      <c r="F18" s="77">
        <v>54.5</v>
      </c>
    </row>
    <row r="19" spans="1:6" x14ac:dyDescent="0.25">
      <c r="A19">
        <v>252</v>
      </c>
      <c r="B19" t="s">
        <v>268</v>
      </c>
      <c r="C19" t="s">
        <v>533</v>
      </c>
      <c r="D19" s="77">
        <v>53</v>
      </c>
      <c r="E19" s="77">
        <v>57</v>
      </c>
      <c r="F19" s="77">
        <v>60</v>
      </c>
    </row>
    <row r="20" spans="1:6" x14ac:dyDescent="0.25">
      <c r="A20">
        <v>253</v>
      </c>
      <c r="B20" t="s">
        <v>269</v>
      </c>
      <c r="C20" t="s">
        <v>534</v>
      </c>
      <c r="D20" s="77">
        <v>25.8</v>
      </c>
      <c r="E20" s="77">
        <v>26.5</v>
      </c>
      <c r="F20" s="77">
        <v>28.2</v>
      </c>
    </row>
    <row r="21" spans="1:6" x14ac:dyDescent="0.25">
      <c r="A21">
        <v>254</v>
      </c>
      <c r="B21" t="s">
        <v>270</v>
      </c>
      <c r="C21" t="s">
        <v>535</v>
      </c>
      <c r="D21" s="77">
        <v>21.5</v>
      </c>
      <c r="E21" s="77">
        <v>22.5</v>
      </c>
      <c r="F21" s="77">
        <v>23.5</v>
      </c>
    </row>
    <row r="22" spans="1:6" x14ac:dyDescent="0.25">
      <c r="A22">
        <v>255</v>
      </c>
      <c r="B22" t="s">
        <v>272</v>
      </c>
      <c r="C22" t="s">
        <v>536</v>
      </c>
      <c r="D22" s="77">
        <v>48</v>
      </c>
      <c r="E22" s="77">
        <v>50</v>
      </c>
      <c r="F22" s="77">
        <v>52</v>
      </c>
    </row>
    <row r="23" spans="1:6" x14ac:dyDescent="0.25">
      <c r="A23">
        <v>256</v>
      </c>
      <c r="B23" t="s">
        <v>273</v>
      </c>
      <c r="C23" t="s">
        <v>537</v>
      </c>
      <c r="D23" s="77">
        <v>66.5</v>
      </c>
      <c r="E23" s="77">
        <v>66.5</v>
      </c>
      <c r="F23" s="77">
        <v>70</v>
      </c>
    </row>
    <row r="24" spans="1:6" x14ac:dyDescent="0.25">
      <c r="A24">
        <v>257</v>
      </c>
      <c r="B24" t="s">
        <v>274</v>
      </c>
      <c r="C24" t="s">
        <v>538</v>
      </c>
      <c r="D24" s="77">
        <v>25.2</v>
      </c>
      <c r="E24" s="77">
        <v>26</v>
      </c>
      <c r="F24" s="77">
        <v>26.7</v>
      </c>
    </row>
    <row r="25" spans="1:6" x14ac:dyDescent="0.25">
      <c r="A25">
        <v>258</v>
      </c>
      <c r="B25" t="s">
        <v>275</v>
      </c>
      <c r="C25" t="s">
        <v>539</v>
      </c>
      <c r="D25" s="77">
        <v>21</v>
      </c>
      <c r="E25" s="77">
        <v>21.5</v>
      </c>
      <c r="F25" s="77">
        <v>22.25</v>
      </c>
    </row>
    <row r="26" spans="1:6" x14ac:dyDescent="0.25">
      <c r="A26">
        <v>262</v>
      </c>
      <c r="B26" t="s">
        <v>280</v>
      </c>
      <c r="C26" t="s">
        <v>543</v>
      </c>
      <c r="D26" s="77">
        <v>53</v>
      </c>
      <c r="E26" s="77">
        <v>55</v>
      </c>
      <c r="F26" s="77">
        <v>56.999999999999993</v>
      </c>
    </row>
    <row r="27" spans="1:6" x14ac:dyDescent="0.25">
      <c r="A27">
        <v>263</v>
      </c>
      <c r="B27" t="s">
        <v>281</v>
      </c>
      <c r="C27" t="s">
        <v>544</v>
      </c>
      <c r="D27" s="77">
        <v>48</v>
      </c>
      <c r="E27" s="77">
        <v>55.5</v>
      </c>
      <c r="F27" s="77">
        <v>63</v>
      </c>
    </row>
    <row r="28" spans="1:6" x14ac:dyDescent="0.25">
      <c r="A28">
        <v>264</v>
      </c>
      <c r="B28" t="s">
        <v>282</v>
      </c>
      <c r="C28" t="s">
        <v>545</v>
      </c>
      <c r="D28" s="77">
        <v>53</v>
      </c>
      <c r="E28" s="77">
        <v>57</v>
      </c>
      <c r="F28" s="77">
        <v>60</v>
      </c>
    </row>
    <row r="29" spans="1:6" x14ac:dyDescent="0.25">
      <c r="A29">
        <v>265</v>
      </c>
      <c r="B29" t="s">
        <v>283</v>
      </c>
      <c r="C29" t="s">
        <v>546</v>
      </c>
      <c r="D29" s="77">
        <v>56.000000000000007</v>
      </c>
      <c r="E29" s="77">
        <v>59</v>
      </c>
      <c r="F29" s="77">
        <v>62</v>
      </c>
    </row>
    <row r="30" spans="1:6" x14ac:dyDescent="0.25">
      <c r="A30">
        <v>266</v>
      </c>
      <c r="B30" t="s">
        <v>284</v>
      </c>
      <c r="C30" t="s">
        <v>547</v>
      </c>
      <c r="D30" s="77">
        <v>56.000000000000007</v>
      </c>
      <c r="E30" s="77">
        <v>59</v>
      </c>
      <c r="F30" s="77">
        <v>62</v>
      </c>
    </row>
    <row r="31" spans="1:6" x14ac:dyDescent="0.25">
      <c r="A31">
        <v>267</v>
      </c>
      <c r="B31" t="s">
        <v>285</v>
      </c>
      <c r="C31" t="s">
        <v>548</v>
      </c>
      <c r="D31" s="77">
        <v>42</v>
      </c>
      <c r="E31" s="77">
        <v>43</v>
      </c>
      <c r="F31" s="77">
        <v>44.5</v>
      </c>
    </row>
    <row r="32" spans="1:6" x14ac:dyDescent="0.25">
      <c r="A32">
        <v>268</v>
      </c>
      <c r="B32" t="s">
        <v>286</v>
      </c>
      <c r="C32" t="s">
        <v>549</v>
      </c>
      <c r="D32" s="77">
        <v>42</v>
      </c>
      <c r="E32" s="77">
        <v>42.5</v>
      </c>
      <c r="F32" s="77">
        <v>43</v>
      </c>
    </row>
    <row r="33" spans="1:6" x14ac:dyDescent="0.25">
      <c r="A33">
        <v>269</v>
      </c>
      <c r="B33" t="s">
        <v>287</v>
      </c>
      <c r="C33" t="s">
        <v>550</v>
      </c>
      <c r="D33" s="77">
        <v>55.000000000000007</v>
      </c>
      <c r="E33" s="77">
        <v>56</v>
      </c>
      <c r="F33" s="77">
        <v>56.999999999999993</v>
      </c>
    </row>
    <row r="34" spans="1:6" x14ac:dyDescent="0.25">
      <c r="A34">
        <v>270</v>
      </c>
      <c r="B34" t="s">
        <v>288</v>
      </c>
      <c r="C34" t="s">
        <v>551</v>
      </c>
      <c r="D34" s="77">
        <v>64</v>
      </c>
      <c r="E34" s="77">
        <v>65</v>
      </c>
      <c r="F34" s="77">
        <v>66</v>
      </c>
    </row>
    <row r="35" spans="1:6" x14ac:dyDescent="0.25">
      <c r="A35">
        <v>271</v>
      </c>
      <c r="B35" t="s">
        <v>289</v>
      </c>
      <c r="C35" s="41" t="s">
        <v>552</v>
      </c>
      <c r="D35" s="77">
        <v>48</v>
      </c>
      <c r="E35" s="77">
        <v>50</v>
      </c>
      <c r="F35" s="77">
        <v>52</v>
      </c>
    </row>
    <row r="36" spans="1:6" x14ac:dyDescent="0.25">
      <c r="D36" s="77"/>
      <c r="E36" s="77"/>
      <c r="F36" s="77"/>
    </row>
    <row r="37" spans="1:6" x14ac:dyDescent="0.25">
      <c r="D37" s="77"/>
      <c r="E37" s="77"/>
      <c r="F37" s="77"/>
    </row>
    <row r="38" spans="1:6" x14ac:dyDescent="0.25">
      <c r="D38" s="77"/>
      <c r="E38" s="77"/>
      <c r="F38" s="77"/>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50</vt:i4>
      </vt:variant>
    </vt:vector>
  </HeadingPairs>
  <TitlesOfParts>
    <vt:vector size="57" baseType="lpstr">
      <vt:lpstr>Prices</vt:lpstr>
      <vt:lpstr>Biomass potentials</vt:lpstr>
      <vt:lpstr>Investment</vt:lpstr>
      <vt:lpstr>Efficiency_CHP</vt:lpstr>
      <vt:lpstr>Efficiency_Heat</vt:lpstr>
      <vt:lpstr>COP_Heat pumps</vt:lpstr>
      <vt:lpstr>Efficiency_fuels</vt:lpstr>
      <vt:lpstr>Prices!_CTVL00148f0a73ed8954180b90269d6ac0271d7</vt:lpstr>
      <vt:lpstr>Prices!_CTVL001b65a48e501a641228939028207688fdb</vt:lpstr>
      <vt:lpstr>Prices!_CTVL001bb05996966db4e8493a5271ad9e77ed0</vt:lpstr>
      <vt:lpstr>Prices!_CTVP00102e711c13247475092b8a84f5c93d991</vt:lpstr>
      <vt:lpstr>Prices!_CTVP0010587c3b297f14e61a22eb066846fc6ba</vt:lpstr>
      <vt:lpstr>Prices!_CTVP0010df01468f95a467da0341b3ff21a49d6</vt:lpstr>
      <vt:lpstr>Prices!_CTVP00116885b388efe492f91c847b88df90fec</vt:lpstr>
      <vt:lpstr>Prices!_CTVP0011da3c79b544146728b5efbb7a3e3c881</vt:lpstr>
      <vt:lpstr>Prices!_CTVP0012170ea52d49142bda5807e11dc3369e4</vt:lpstr>
      <vt:lpstr>Prices!_CTVP0012724bb19dc6f47ba9cf445a8391a26fe</vt:lpstr>
      <vt:lpstr>Prices!_CTVP001323b3f98aca64886b60b1d428461498f</vt:lpstr>
      <vt:lpstr>Prices!_CTVP0013b8e921fd6a04a049340dfb5887e37e7</vt:lpstr>
      <vt:lpstr>Prices!_CTVP001412dbebc63a64aa790fbdd1819f82fae</vt:lpstr>
      <vt:lpstr>Prices!_CTVP00145c012f5fe3d4f8991bae30888ea0765</vt:lpstr>
      <vt:lpstr>Prices!_CTVP00155e6a571fec24a8189992964e13c9161</vt:lpstr>
      <vt:lpstr>Prices!_CTVP001568883ca26934869b206c6fcc012f44f</vt:lpstr>
      <vt:lpstr>Prices!_CTVP0015de62211cc7349108389bde224a4d483</vt:lpstr>
      <vt:lpstr>Prices!_CTVP00162445bbc09c24f298c3907a69a5ebea5</vt:lpstr>
      <vt:lpstr>Prices!_CTVP001629209b2fb57439d8c3d6a862ec4e64d</vt:lpstr>
      <vt:lpstr>Prices!_CTVP0016dbed3d7b5794221b81cb690a6d70e64</vt:lpstr>
      <vt:lpstr>Prices!_CTVP00170916b4687044fc98720d34948d5e827</vt:lpstr>
      <vt:lpstr>Prices!_CTVP0017619ca0a6e41401b85c3dee76eb8047e</vt:lpstr>
      <vt:lpstr>Prices!_CTVP0018078b2db593848e1a9a0eb7675050a0b</vt:lpstr>
      <vt:lpstr>Prices!_CTVP00180b34ad3dd9f493ca7f85178744b280a</vt:lpstr>
      <vt:lpstr>Prices!_CTVP00182a4ab491c814fd6b1aafdae939fc0ef</vt:lpstr>
      <vt:lpstr>Prices!_CTVP001831c2f6cf7ac4b81a901077eceed277c</vt:lpstr>
      <vt:lpstr>Prices!_CTVP001836b2eee1d534bfa89cd8f39ef6adc7e</vt:lpstr>
      <vt:lpstr>Prices!_CTVP00185cd90ed51ef4264bd02d86d47aad1c7</vt:lpstr>
      <vt:lpstr>Prices!_CTVP00187bafc8c16954f84a4166171c8c2b805</vt:lpstr>
      <vt:lpstr>Prices!_CTVP0018918523276dd40ca9805822b2abc613b</vt:lpstr>
      <vt:lpstr>Prices!_CTVP0018f05894daa5f482bb1f9a357628705b8</vt:lpstr>
      <vt:lpstr>Prices!_CTVP0019708335653264bb2811efe471e24dc0a</vt:lpstr>
      <vt:lpstr>Prices!_CTVP00198c5c3cab81b4fe4a77a79af5cd08d30</vt:lpstr>
      <vt:lpstr>Prices!_CTVP0019d8ead4f60c4465ebc77a5f545acf500</vt:lpstr>
      <vt:lpstr>Prices!_CTVP001a306b9414ed64abaa12d7876874beca8</vt:lpstr>
      <vt:lpstr>Prices!_CTVP001a5bb561988f54454b190229c1745d53c</vt:lpstr>
      <vt:lpstr>Prices!_CTVP001ab8a083cb04d4a1b92efbdd0d2a78aae</vt:lpstr>
      <vt:lpstr>Prices!_CTVP001b18af32a84f74a46b2bb8de7928412a8</vt:lpstr>
      <vt:lpstr>Prices!_CTVP001be17d112cbba464f8b65799744ddf683</vt:lpstr>
      <vt:lpstr>Prices!_CTVP001c199542f432945a0b5e444bc5ce47cd9</vt:lpstr>
      <vt:lpstr>Prices!_CTVP001cb4c8ad8eba5403bbb48ff75dbd13883</vt:lpstr>
      <vt:lpstr>Prices!_CTVP001cbd24990e69f49cfb059f4086af32489</vt:lpstr>
      <vt:lpstr>Prices!_CTVP001d283860888044656b263d9ebde9d5c2b</vt:lpstr>
      <vt:lpstr>Prices!_CTVP001d5b1ec5a10374ff084464be7184aa623</vt:lpstr>
      <vt:lpstr>Prices!_CTVP001db683acd379a4f38a59c319801cc5748</vt:lpstr>
      <vt:lpstr>Prices!_CTVP001db93b601a5a64dd1902f2cc9a3c6548e</vt:lpstr>
      <vt:lpstr>Prices!_CTVP001e90b582b58b14180847a244c10633cff</vt:lpstr>
      <vt:lpstr>Prices!_CTVP001eafcd1c0ff1748af814657640c43512a</vt:lpstr>
      <vt:lpstr>Prices!_CTVP001f618e6764a0d478f97e0394a11bff32a</vt:lpstr>
      <vt:lpstr>Prices!_CTVP001fa5b8746bbf04fa7ba3a08590e0159fc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Matthias Jordan</dc:creator>
  <cp:lastModifiedBy>Matthias Jordan</cp:lastModifiedBy>
  <dcterms:created xsi:type="dcterms:W3CDTF">2015-06-05T18:19:34Z</dcterms:created>
  <dcterms:modified xsi:type="dcterms:W3CDTF">2024-04-10T12:14:22Z</dcterms:modified>
</cp:coreProperties>
</file>