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hidePivotFieldList="1" autoCompressPictures="0"/>
  <bookViews>
    <workbookView xWindow="7815" yWindow="2745" windowWidth="37365" windowHeight="17715" tabRatio="857"/>
  </bookViews>
  <sheets>
    <sheet name="Data Extraction " sheetId="11" r:id="rId1"/>
    <sheet name="Study validity" sheetId="6" r:id="rId2"/>
  </sheets>
  <definedNames>
    <definedName name="_xlnm._FilterDatabase" localSheetId="0" hidden="1">'Data Extraction '!$A$2:$FD$221</definedName>
    <definedName name="_xlnm._FilterDatabase" localSheetId="1" hidden="1">'Study validity'!$B$1:$N$105</definedName>
  </definedNames>
  <calcPr calcId="125725"/>
  <extLst>
    <ext xmlns:mx="http://schemas.microsoft.com/office/mac/excel/2008/main" uri="{7523E5D3-25F3-A5E0-1632-64F254C22452}">
      <mx:ArchID Flags="2"/>
    </ext>
  </extLst>
</workbook>
</file>

<file path=xl/calcChain.xml><?xml version="1.0" encoding="utf-8"?>
<calcChain xmlns="http://schemas.openxmlformats.org/spreadsheetml/2006/main">
  <c r="C4" i="11"/>
  <c r="C5"/>
  <c r="C6"/>
  <c r="C7"/>
  <c r="C8"/>
  <c r="C9"/>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C109"/>
  <c r="C110"/>
  <c r="C111"/>
  <c r="C112"/>
  <c r="C113"/>
  <c r="C114"/>
  <c r="C115"/>
  <c r="C116"/>
  <c r="C117"/>
  <c r="C118"/>
  <c r="C119"/>
  <c r="C120"/>
  <c r="C121"/>
  <c r="C122"/>
  <c r="C123"/>
  <c r="C124"/>
  <c r="C125"/>
  <c r="C126"/>
  <c r="C127"/>
  <c r="C128"/>
  <c r="C129"/>
  <c r="C130"/>
  <c r="C131"/>
  <c r="C132"/>
  <c r="C133"/>
  <c r="C134"/>
  <c r="C135"/>
  <c r="C136"/>
  <c r="C137"/>
  <c r="C138"/>
  <c r="C139"/>
  <c r="C140"/>
  <c r="C141"/>
  <c r="C142"/>
  <c r="C143"/>
  <c r="C144"/>
  <c r="C145"/>
  <c r="C146"/>
  <c r="C147"/>
  <c r="C148"/>
  <c r="C149"/>
  <c r="C150"/>
  <c r="C151"/>
  <c r="C152"/>
  <c r="C153"/>
  <c r="C154"/>
  <c r="C155"/>
  <c r="C156"/>
  <c r="C157"/>
  <c r="C158"/>
  <c r="C159"/>
  <c r="C160"/>
  <c r="C161"/>
  <c r="C162"/>
  <c r="C163"/>
  <c r="C164"/>
  <c r="C165"/>
  <c r="C166"/>
  <c r="C167"/>
  <c r="C168"/>
  <c r="C169"/>
  <c r="C170"/>
  <c r="C171"/>
  <c r="C172"/>
  <c r="C173"/>
  <c r="C174"/>
  <c r="C175"/>
  <c r="C176"/>
  <c r="C177"/>
  <c r="C178"/>
  <c r="C179"/>
  <c r="C180"/>
  <c r="C181"/>
  <c r="C182"/>
  <c r="C183"/>
  <c r="C184"/>
  <c r="C185"/>
  <c r="C186"/>
  <c r="C187"/>
  <c r="C188"/>
  <c r="C189"/>
  <c r="C190"/>
  <c r="C191"/>
  <c r="C192"/>
  <c r="C193"/>
  <c r="C194"/>
  <c r="C195"/>
  <c r="C196"/>
  <c r="C197"/>
  <c r="C198"/>
  <c r="C199"/>
  <c r="C200"/>
  <c r="C201"/>
  <c r="C202"/>
  <c r="C203"/>
  <c r="C204"/>
  <c r="C205"/>
  <c r="C206"/>
  <c r="C207"/>
  <c r="C208"/>
  <c r="C209"/>
  <c r="C210"/>
  <c r="C211"/>
  <c r="C212"/>
  <c r="C213"/>
  <c r="C214"/>
  <c r="C215"/>
  <c r="C216"/>
  <c r="C217"/>
  <c r="C218"/>
  <c r="C219"/>
  <c r="C220"/>
  <c r="C221"/>
  <c r="C3"/>
  <c r="EO40"/>
  <c r="EO145"/>
  <c r="EP148"/>
  <c r="ET148"/>
  <c r="EY148"/>
  <c r="EN148"/>
  <c r="ER148"/>
  <c r="EO148"/>
  <c r="ES148"/>
  <c r="EQ149"/>
  <c r="FB149" s="1"/>
  <c r="EU149"/>
  <c r="EY207"/>
  <c r="FD207"/>
  <c r="EP206"/>
  <c r="EY206" s="1"/>
  <c r="ET206"/>
  <c r="FD206"/>
  <c r="EO207"/>
  <c r="EV207" s="1"/>
  <c r="ES207"/>
  <c r="EN207"/>
  <c r="ER207"/>
  <c r="CE21"/>
  <c r="CC21"/>
  <c r="DS91"/>
  <c r="DS90"/>
  <c r="DK90"/>
  <c r="DK91"/>
  <c r="DC91"/>
  <c r="DC90"/>
  <c r="CU90"/>
  <c r="CU91"/>
  <c r="EQ90"/>
  <c r="FB90" s="1"/>
  <c r="EU90"/>
  <c r="EP90"/>
  <c r="EY90" s="1"/>
  <c r="ET90"/>
  <c r="DY90"/>
  <c r="EN90" s="1"/>
  <c r="EG90"/>
  <c r="ER90" s="1"/>
  <c r="EA90"/>
  <c r="EO90"/>
  <c r="EI90"/>
  <c r="ES90" s="1"/>
  <c r="BJ90"/>
  <c r="EQ91"/>
  <c r="EU91"/>
  <c r="EP91"/>
  <c r="ET91"/>
  <c r="DY91"/>
  <c r="EN91"/>
  <c r="EG91"/>
  <c r="ER91" s="1"/>
  <c r="EA91"/>
  <c r="EO91" s="1"/>
  <c r="EI91"/>
  <c r="ES91" s="1"/>
  <c r="BJ91"/>
  <c r="BJ92"/>
  <c r="EN92"/>
  <c r="EO92"/>
  <c r="EP92"/>
  <c r="EY92" s="1"/>
  <c r="EQ92"/>
  <c r="ER92"/>
  <c r="ES92"/>
  <c r="ET92"/>
  <c r="EU92"/>
  <c r="DS73"/>
  <c r="DS72"/>
  <c r="CU73"/>
  <c r="CU72"/>
  <c r="DK73"/>
  <c r="EA73" s="1"/>
  <c r="EO73" s="1"/>
  <c r="DK72"/>
  <c r="DC72"/>
  <c r="DC71"/>
  <c r="DC73"/>
  <c r="EQ73"/>
  <c r="FB73" s="1"/>
  <c r="EU73"/>
  <c r="EP73"/>
  <c r="EY73" s="1"/>
  <c r="ET73"/>
  <c r="DY73"/>
  <c r="EN73" s="1"/>
  <c r="EG73"/>
  <c r="ER73" s="1"/>
  <c r="BJ73"/>
  <c r="EG131"/>
  <c r="EG132"/>
  <c r="ER132" s="1"/>
  <c r="DY131"/>
  <c r="DY132"/>
  <c r="EN132" s="1"/>
  <c r="DK131"/>
  <c r="DK132"/>
  <c r="DS132"/>
  <c r="DS131"/>
  <c r="DS130"/>
  <c r="DK130"/>
  <c r="DC132"/>
  <c r="EI132" s="1"/>
  <c r="ES132" s="1"/>
  <c r="DC131"/>
  <c r="DC130"/>
  <c r="CU130"/>
  <c r="EA130" s="1"/>
  <c r="EO130" s="1"/>
  <c r="CU131"/>
  <c r="EA131" s="1"/>
  <c r="EO131" s="1"/>
  <c r="CU132"/>
  <c r="EQ131"/>
  <c r="EU131"/>
  <c r="FB131" s="1"/>
  <c r="EP131"/>
  <c r="ET131"/>
  <c r="EN131"/>
  <c r="ER131"/>
  <c r="BJ131"/>
  <c r="EQ132"/>
  <c r="EU132"/>
  <c r="EP132"/>
  <c r="EY132" s="1"/>
  <c r="ET132"/>
  <c r="BJ132"/>
  <c r="EG203"/>
  <c r="ER203" s="1"/>
  <c r="EG204"/>
  <c r="DY204"/>
  <c r="EN204" s="1"/>
  <c r="EQ204"/>
  <c r="EU204"/>
  <c r="EP204"/>
  <c r="ET204"/>
  <c r="ER204"/>
  <c r="EA204"/>
  <c r="EO204" s="1"/>
  <c r="EI204"/>
  <c r="ES204"/>
  <c r="BJ204"/>
  <c r="EQ203"/>
  <c r="EU203"/>
  <c r="FB203"/>
  <c r="EP203"/>
  <c r="EY203" s="1"/>
  <c r="ET203"/>
  <c r="DY203"/>
  <c r="EN203" s="1"/>
  <c r="EA203"/>
  <c r="EO203" s="1"/>
  <c r="EI203"/>
  <c r="ES203" s="1"/>
  <c r="BJ203"/>
  <c r="CU71"/>
  <c r="EQ71"/>
  <c r="EU71"/>
  <c r="FB71" s="1"/>
  <c r="EP71"/>
  <c r="ET71"/>
  <c r="EY71"/>
  <c r="DY71"/>
  <c r="EN71" s="1"/>
  <c r="EG71"/>
  <c r="ER71" s="1"/>
  <c r="EA71"/>
  <c r="EO71" s="1"/>
  <c r="EV71" s="1"/>
  <c r="EI71"/>
  <c r="ES71"/>
  <c r="BJ71"/>
  <c r="EQ72"/>
  <c r="FB72" s="1"/>
  <c r="EU72"/>
  <c r="EP72"/>
  <c r="ET72"/>
  <c r="EY72" s="1"/>
  <c r="DY72"/>
  <c r="EN72" s="1"/>
  <c r="EG72"/>
  <c r="ER72"/>
  <c r="EA72"/>
  <c r="EO72" s="1"/>
  <c r="EI72"/>
  <c r="ES72" s="1"/>
  <c r="BJ72"/>
  <c r="EQ85"/>
  <c r="FB85" s="1"/>
  <c r="EU85"/>
  <c r="EP85"/>
  <c r="EY85" s="1"/>
  <c r="ET85"/>
  <c r="DY85"/>
  <c r="EN85" s="1"/>
  <c r="EG85"/>
  <c r="ER85" s="1"/>
  <c r="EA85"/>
  <c r="EO85" s="1"/>
  <c r="EI85"/>
  <c r="ES85"/>
  <c r="BJ85"/>
  <c r="EQ82"/>
  <c r="EU82"/>
  <c r="FB82"/>
  <c r="EP82"/>
  <c r="EY82" s="1"/>
  <c r="ET82"/>
  <c r="DY82"/>
  <c r="EN82" s="1"/>
  <c r="EG82"/>
  <c r="ER82"/>
  <c r="EA82"/>
  <c r="EO82" s="1"/>
  <c r="EI82"/>
  <c r="ES82" s="1"/>
  <c r="BJ82"/>
  <c r="EI126"/>
  <c r="EI127"/>
  <c r="ES127" s="1"/>
  <c r="EG127"/>
  <c r="ER127" s="1"/>
  <c r="EG126"/>
  <c r="EA127"/>
  <c r="EA126"/>
  <c r="EO126" s="1"/>
  <c r="DY127"/>
  <c r="DY126"/>
  <c r="EQ127"/>
  <c r="EU127"/>
  <c r="FB127" s="1"/>
  <c r="EP127"/>
  <c r="ET127"/>
  <c r="EY127"/>
  <c r="EN127"/>
  <c r="EO127"/>
  <c r="EV127"/>
  <c r="BJ127"/>
  <c r="EQ126"/>
  <c r="EU126"/>
  <c r="FB126"/>
  <c r="EP126"/>
  <c r="EY126" s="1"/>
  <c r="ET126"/>
  <c r="EN126"/>
  <c r="EW126" s="1"/>
  <c r="ER126"/>
  <c r="ES126"/>
  <c r="EV126"/>
  <c r="BJ126"/>
  <c r="EQ217"/>
  <c r="EU217"/>
  <c r="FB217"/>
  <c r="EP217"/>
  <c r="ET217"/>
  <c r="EY217"/>
  <c r="EN217"/>
  <c r="ER217"/>
  <c r="EO217"/>
  <c r="ES217"/>
  <c r="EV217"/>
  <c r="BJ217"/>
  <c r="EQ213"/>
  <c r="EU213"/>
  <c r="FB213"/>
  <c r="EP213"/>
  <c r="ET213"/>
  <c r="EY213"/>
  <c r="EN213"/>
  <c r="ER213"/>
  <c r="EO213"/>
  <c r="ES213"/>
  <c r="EV213"/>
  <c r="BJ213"/>
  <c r="EQ112"/>
  <c r="EU112"/>
  <c r="FB112"/>
  <c r="EP112"/>
  <c r="ET112"/>
  <c r="EY112"/>
  <c r="DY112"/>
  <c r="EN112" s="1"/>
  <c r="EG112"/>
  <c r="ER112" s="1"/>
  <c r="EA112"/>
  <c r="EO112" s="1"/>
  <c r="EI112"/>
  <c r="ES112" s="1"/>
  <c r="BJ112"/>
  <c r="EQ113"/>
  <c r="EU113"/>
  <c r="EP113"/>
  <c r="ET113"/>
  <c r="EY113"/>
  <c r="DY113"/>
  <c r="EN113" s="1"/>
  <c r="EG113"/>
  <c r="ER113"/>
  <c r="EA113"/>
  <c r="EO113" s="1"/>
  <c r="EI113"/>
  <c r="ES113" s="1"/>
  <c r="BJ113"/>
  <c r="EQ21"/>
  <c r="FB21" s="1"/>
  <c r="EU21"/>
  <c r="EP21"/>
  <c r="ET21"/>
  <c r="EY21" s="1"/>
  <c r="EN21"/>
  <c r="ER21"/>
  <c r="EO21"/>
  <c r="ES21"/>
  <c r="BJ21"/>
  <c r="EQ67"/>
  <c r="FB67" s="1"/>
  <c r="EU67"/>
  <c r="EP67"/>
  <c r="ET67"/>
  <c r="EY67" s="1"/>
  <c r="EN67"/>
  <c r="ER67"/>
  <c r="EO67"/>
  <c r="EV67" s="1"/>
  <c r="ES67"/>
  <c r="BJ67"/>
  <c r="EQ66"/>
  <c r="FB66" s="1"/>
  <c r="EU66"/>
  <c r="EP66"/>
  <c r="ET66"/>
  <c r="EY66" s="1"/>
  <c r="EN66"/>
  <c r="ER66"/>
  <c r="EO66"/>
  <c r="ES66"/>
  <c r="BJ66"/>
  <c r="EQ65"/>
  <c r="FB65" s="1"/>
  <c r="EU65"/>
  <c r="EP65"/>
  <c r="ET65"/>
  <c r="EY65" s="1"/>
  <c r="EN65"/>
  <c r="ER65"/>
  <c r="EO65"/>
  <c r="ES65"/>
  <c r="BJ65"/>
  <c r="EQ184"/>
  <c r="FB184" s="1"/>
  <c r="EU184"/>
  <c r="EP184"/>
  <c r="ET184"/>
  <c r="EY184" s="1"/>
  <c r="EN184"/>
  <c r="ER184"/>
  <c r="EO184"/>
  <c r="ES184"/>
  <c r="BJ184"/>
  <c r="EA32"/>
  <c r="EA31"/>
  <c r="DY32"/>
  <c r="DY31"/>
  <c r="EI32"/>
  <c r="EI31"/>
  <c r="EG31"/>
  <c r="EG32"/>
  <c r="EQ8"/>
  <c r="FB8" s="1"/>
  <c r="EU8"/>
  <c r="EC47"/>
  <c r="EQ47"/>
  <c r="FB47" s="1"/>
  <c r="EK47"/>
  <c r="EU47"/>
  <c r="EQ12"/>
  <c r="EU12"/>
  <c r="FB12" s="1"/>
  <c r="EQ115"/>
  <c r="EU115"/>
  <c r="FB115"/>
  <c r="EQ116"/>
  <c r="EU116"/>
  <c r="EQ48"/>
  <c r="EU48"/>
  <c r="FB207"/>
  <c r="EQ185"/>
  <c r="FB185" s="1"/>
  <c r="EU185"/>
  <c r="EQ186"/>
  <c r="FB186" s="1"/>
  <c r="EU186"/>
  <c r="EQ187"/>
  <c r="EU187"/>
  <c r="FB187" s="1"/>
  <c r="EQ188"/>
  <c r="FB188" s="1"/>
  <c r="EU188"/>
  <c r="EQ189"/>
  <c r="FB189" s="1"/>
  <c r="EU189"/>
  <c r="EQ190"/>
  <c r="EU190"/>
  <c r="FB190"/>
  <c r="EQ191"/>
  <c r="EU191"/>
  <c r="FB191" s="1"/>
  <c r="EQ192"/>
  <c r="FB192" s="1"/>
  <c r="EU192"/>
  <c r="EQ193"/>
  <c r="EU193"/>
  <c r="FB193" s="1"/>
  <c r="EQ194"/>
  <c r="FB194" s="1"/>
  <c r="EU194"/>
  <c r="EQ195"/>
  <c r="EU195"/>
  <c r="EQ196"/>
  <c r="FB196" s="1"/>
  <c r="EU196"/>
  <c r="EQ74"/>
  <c r="EU74"/>
  <c r="EQ75"/>
  <c r="EU75"/>
  <c r="FB75"/>
  <c r="EQ76"/>
  <c r="FB76" s="1"/>
  <c r="EU76"/>
  <c r="EQ77"/>
  <c r="FB77" s="1"/>
  <c r="EU77"/>
  <c r="EQ13"/>
  <c r="EU13"/>
  <c r="FB13" s="1"/>
  <c r="EQ14"/>
  <c r="FB14" s="1"/>
  <c r="EU14"/>
  <c r="EQ180"/>
  <c r="EU180"/>
  <c r="EQ181"/>
  <c r="FB181" s="1"/>
  <c r="EU181"/>
  <c r="EQ182"/>
  <c r="EU182"/>
  <c r="FB182" s="1"/>
  <c r="EQ183"/>
  <c r="EU183"/>
  <c r="FB183"/>
  <c r="EQ59"/>
  <c r="FB59" s="1"/>
  <c r="EU59"/>
  <c r="EQ60"/>
  <c r="EU60"/>
  <c r="EQ61"/>
  <c r="EU61"/>
  <c r="FB61" s="1"/>
  <c r="EQ62"/>
  <c r="EU62"/>
  <c r="EQ63"/>
  <c r="EU63"/>
  <c r="FB63"/>
  <c r="EQ64"/>
  <c r="EU64"/>
  <c r="EQ156"/>
  <c r="EU156"/>
  <c r="FB156" s="1"/>
  <c r="EQ157"/>
  <c r="EU157"/>
  <c r="FB157"/>
  <c r="EQ158"/>
  <c r="FB158" s="1"/>
  <c r="EU158"/>
  <c r="EQ159"/>
  <c r="EU159"/>
  <c r="EQ160"/>
  <c r="FB160" s="1"/>
  <c r="EU160"/>
  <c r="EQ161"/>
  <c r="EU161"/>
  <c r="FB161" s="1"/>
  <c r="EQ162"/>
  <c r="EU162"/>
  <c r="FB162"/>
  <c r="EQ163"/>
  <c r="FB163" s="1"/>
  <c r="EU163"/>
  <c r="EQ164"/>
  <c r="EU164"/>
  <c r="EQ165"/>
  <c r="EU165"/>
  <c r="FB165"/>
  <c r="EQ166"/>
  <c r="FB166" s="1"/>
  <c r="EU166"/>
  <c r="EQ167"/>
  <c r="EU167"/>
  <c r="EQ168"/>
  <c r="EU168"/>
  <c r="FB168" s="1"/>
  <c r="EQ169"/>
  <c r="EU169"/>
  <c r="EQ170"/>
  <c r="FB170" s="1"/>
  <c r="EU170"/>
  <c r="EQ171"/>
  <c r="FB171" s="1"/>
  <c r="EU171"/>
  <c r="EQ172"/>
  <c r="FB172" s="1"/>
  <c r="EU172"/>
  <c r="EQ173"/>
  <c r="FB173" s="1"/>
  <c r="EU173"/>
  <c r="EQ174"/>
  <c r="EU174"/>
  <c r="EQ175"/>
  <c r="EU175"/>
  <c r="EQ88"/>
  <c r="EU88"/>
  <c r="FB88" s="1"/>
  <c r="EQ89"/>
  <c r="EU89"/>
  <c r="FB89"/>
  <c r="EQ96"/>
  <c r="FB96" s="1"/>
  <c r="EU96"/>
  <c r="EQ97"/>
  <c r="FB97" s="1"/>
  <c r="EU97"/>
  <c r="EQ98"/>
  <c r="EU98"/>
  <c r="EQ99"/>
  <c r="EU99"/>
  <c r="FB99"/>
  <c r="EQ100"/>
  <c r="FB100" s="1"/>
  <c r="EU100"/>
  <c r="EQ101"/>
  <c r="EU101"/>
  <c r="EQ197"/>
  <c r="EU197"/>
  <c r="FB197" s="1"/>
  <c r="EQ198"/>
  <c r="EU198"/>
  <c r="FB198" s="1"/>
  <c r="EQ179"/>
  <c r="EU179"/>
  <c r="FB179"/>
  <c r="EQ25"/>
  <c r="FB25" s="1"/>
  <c r="EU25"/>
  <c r="EQ26"/>
  <c r="EU26"/>
  <c r="FB26" s="1"/>
  <c r="EQ220"/>
  <c r="EU220"/>
  <c r="FB220"/>
  <c r="EQ221"/>
  <c r="FB221" s="1"/>
  <c r="EU221"/>
  <c r="EQ19"/>
  <c r="EU19"/>
  <c r="EQ20"/>
  <c r="EU20"/>
  <c r="EQ31"/>
  <c r="EU31"/>
  <c r="FB31"/>
  <c r="EQ32"/>
  <c r="EU32"/>
  <c r="FB32"/>
  <c r="EQ54"/>
  <c r="FB54" s="1"/>
  <c r="EU54"/>
  <c r="EQ104"/>
  <c r="EU104"/>
  <c r="FB104" s="1"/>
  <c r="EQ105"/>
  <c r="FB105" s="1"/>
  <c r="EU105"/>
  <c r="EQ106"/>
  <c r="EU106"/>
  <c r="FB106" s="1"/>
  <c r="EQ107"/>
  <c r="FB107" s="1"/>
  <c r="EU107"/>
  <c r="EQ108"/>
  <c r="EU108"/>
  <c r="EQ109"/>
  <c r="EU109"/>
  <c r="FB109"/>
  <c r="EQ110"/>
  <c r="FB110" s="1"/>
  <c r="EU110"/>
  <c r="EQ111"/>
  <c r="FB111" s="1"/>
  <c r="EU111"/>
  <c r="EQ150"/>
  <c r="EU150"/>
  <c r="FB150" s="1"/>
  <c r="EQ151"/>
  <c r="FB151" s="1"/>
  <c r="EU151"/>
  <c r="EQ152"/>
  <c r="EU152"/>
  <c r="EQ153"/>
  <c r="EU153"/>
  <c r="EQ154"/>
  <c r="EU154"/>
  <c r="FB154" s="1"/>
  <c r="EQ205"/>
  <c r="EU205"/>
  <c r="FB205"/>
  <c r="EQ206"/>
  <c r="FB206" s="1"/>
  <c r="EU206"/>
  <c r="EQ208"/>
  <c r="FB208" s="1"/>
  <c r="EU208"/>
  <c r="EQ209"/>
  <c r="EU209"/>
  <c r="EQ10"/>
  <c r="EU10"/>
  <c r="FB10"/>
  <c r="EQ11"/>
  <c r="FB11" s="1"/>
  <c r="EU11"/>
  <c r="EQ93"/>
  <c r="FB93" s="1"/>
  <c r="EU93"/>
  <c r="EQ94"/>
  <c r="EU94"/>
  <c r="FB94" s="1"/>
  <c r="EQ95"/>
  <c r="FB95" s="1"/>
  <c r="EU95"/>
  <c r="EQ210"/>
  <c r="EU210"/>
  <c r="EQ211"/>
  <c r="FB211" s="1"/>
  <c r="EU211"/>
  <c r="EQ212"/>
  <c r="EU212"/>
  <c r="EQ214"/>
  <c r="EU214"/>
  <c r="FB214"/>
  <c r="EQ215"/>
  <c r="FB215" s="1"/>
  <c r="EU215"/>
  <c r="EQ216"/>
  <c r="EU216"/>
  <c r="EQ57"/>
  <c r="EU57"/>
  <c r="EQ120"/>
  <c r="EU120"/>
  <c r="FB120" s="1"/>
  <c r="EQ121"/>
  <c r="EU121"/>
  <c r="FB121"/>
  <c r="EQ122"/>
  <c r="FB122" s="1"/>
  <c r="EU122"/>
  <c r="EQ123"/>
  <c r="EU123"/>
  <c r="FB123" s="1"/>
  <c r="EQ124"/>
  <c r="EU124"/>
  <c r="FB124"/>
  <c r="EQ125"/>
  <c r="FB125" s="1"/>
  <c r="EU125"/>
  <c r="EQ141"/>
  <c r="EU141"/>
  <c r="EQ142"/>
  <c r="EU142"/>
  <c r="EQ143"/>
  <c r="EU143"/>
  <c r="FB143"/>
  <c r="EQ144"/>
  <c r="FB144" s="1"/>
  <c r="EU144"/>
  <c r="FB145"/>
  <c r="EQ146"/>
  <c r="FB146" s="1"/>
  <c r="EU146"/>
  <c r="EQ176"/>
  <c r="EU176"/>
  <c r="FB176" s="1"/>
  <c r="EQ177"/>
  <c r="FB177" s="1"/>
  <c r="EU177"/>
  <c r="EQ218"/>
  <c r="EU218"/>
  <c r="EQ9"/>
  <c r="EU9"/>
  <c r="FB9" s="1"/>
  <c r="EQ135"/>
  <c r="EU135"/>
  <c r="EQ139"/>
  <c r="FB139" s="1"/>
  <c r="EU139"/>
  <c r="EQ140"/>
  <c r="FB140" s="1"/>
  <c r="EU140"/>
  <c r="EQ134"/>
  <c r="EU134"/>
  <c r="FB134"/>
  <c r="EQ3"/>
  <c r="EU3"/>
  <c r="FB3" s="1"/>
  <c r="EQ49"/>
  <c r="EU49"/>
  <c r="EQ78"/>
  <c r="EU78"/>
  <c r="EQ79"/>
  <c r="FB79" s="1"/>
  <c r="EU79"/>
  <c r="EQ22"/>
  <c r="EU22"/>
  <c r="FB22" s="1"/>
  <c r="EQ23"/>
  <c r="FB23" s="1"/>
  <c r="EU23"/>
  <c r="EQ24"/>
  <c r="EU24"/>
  <c r="EQ6"/>
  <c r="EU6"/>
  <c r="FB6"/>
  <c r="EQ17"/>
  <c r="EU17"/>
  <c r="FB17" s="1"/>
  <c r="EQ18"/>
  <c r="EU18"/>
  <c r="EQ117"/>
  <c r="EU117"/>
  <c r="EQ129"/>
  <c r="FB129" s="1"/>
  <c r="EU129"/>
  <c r="EQ130"/>
  <c r="EU130"/>
  <c r="FB130" s="1"/>
  <c r="EQ118"/>
  <c r="FB118" s="1"/>
  <c r="EU118"/>
  <c r="EQ119"/>
  <c r="EU119"/>
  <c r="EQ199"/>
  <c r="EU199"/>
  <c r="FB199"/>
  <c r="EQ15"/>
  <c r="EU15"/>
  <c r="FB15"/>
  <c r="EQ16"/>
  <c r="EU16"/>
  <c r="EQ102"/>
  <c r="EU102"/>
  <c r="EQ103"/>
  <c r="FB103" s="1"/>
  <c r="EU103"/>
  <c r="EQ219"/>
  <c r="EU219"/>
  <c r="FB219" s="1"/>
  <c r="EQ136"/>
  <c r="FB136" s="1"/>
  <c r="EU136"/>
  <c r="EQ137"/>
  <c r="EU137"/>
  <c r="EQ138"/>
  <c r="EU138"/>
  <c r="FB138"/>
  <c r="EQ27"/>
  <c r="EU27"/>
  <c r="FB27"/>
  <c r="EQ28"/>
  <c r="EU28"/>
  <c r="EQ29"/>
  <c r="EU29"/>
  <c r="EQ30"/>
  <c r="FB30" s="1"/>
  <c r="EU30"/>
  <c r="EQ178"/>
  <c r="EU178"/>
  <c r="FB178" s="1"/>
  <c r="EQ147"/>
  <c r="FB147" s="1"/>
  <c r="EU147"/>
  <c r="EQ148"/>
  <c r="FB148" s="1"/>
  <c r="EU148"/>
  <c r="EQ133"/>
  <c r="EU133"/>
  <c r="FB133"/>
  <c r="EQ68"/>
  <c r="EU68"/>
  <c r="FB68"/>
  <c r="EQ69"/>
  <c r="EU69"/>
  <c r="EQ70"/>
  <c r="EU70"/>
  <c r="EQ50"/>
  <c r="FB50" s="1"/>
  <c r="EU50"/>
  <c r="EQ202"/>
  <c r="EU202"/>
  <c r="FB202" s="1"/>
  <c r="EQ80"/>
  <c r="FB80" s="1"/>
  <c r="EU80"/>
  <c r="EQ81"/>
  <c r="EU81"/>
  <c r="EQ83"/>
  <c r="EU83"/>
  <c r="FB83"/>
  <c r="EQ84"/>
  <c r="EU84"/>
  <c r="FB84"/>
  <c r="EQ51"/>
  <c r="EU51"/>
  <c r="EQ155"/>
  <c r="EU155"/>
  <c r="EQ4"/>
  <c r="FB4" s="1"/>
  <c r="EU4"/>
  <c r="EQ5"/>
  <c r="EU5"/>
  <c r="FB5" s="1"/>
  <c r="EQ52"/>
  <c r="FB52" s="1"/>
  <c r="EU52"/>
  <c r="EQ53"/>
  <c r="EU53"/>
  <c r="EQ200"/>
  <c r="EU200"/>
  <c r="FB200"/>
  <c r="EQ201"/>
  <c r="EU201"/>
  <c r="FB201"/>
  <c r="EQ55"/>
  <c r="EU55"/>
  <c r="EQ56"/>
  <c r="EU56"/>
  <c r="EQ44"/>
  <c r="FB44" s="1"/>
  <c r="EU44"/>
  <c r="EQ45"/>
  <c r="EU45"/>
  <c r="EQ46"/>
  <c r="FB46" s="1"/>
  <c r="EU46"/>
  <c r="EQ33"/>
  <c r="EU33"/>
  <c r="EQ34"/>
  <c r="EU34"/>
  <c r="FB34"/>
  <c r="EQ35"/>
  <c r="EU35"/>
  <c r="FB35" s="1"/>
  <c r="EQ36"/>
  <c r="EU36"/>
  <c r="EQ37"/>
  <c r="EU37"/>
  <c r="EQ38"/>
  <c r="FB38" s="1"/>
  <c r="EU38"/>
  <c r="EQ39"/>
  <c r="EU39"/>
  <c r="FB39" s="1"/>
  <c r="EQ40"/>
  <c r="FB40" s="1"/>
  <c r="EU40"/>
  <c r="EQ41"/>
  <c r="EU41"/>
  <c r="EQ42"/>
  <c r="EU42"/>
  <c r="FB42"/>
  <c r="EQ43"/>
  <c r="EU43"/>
  <c r="FB43"/>
  <c r="EQ86"/>
  <c r="EU86"/>
  <c r="EQ87"/>
  <c r="EU87"/>
  <c r="EQ128"/>
  <c r="FB128" s="1"/>
  <c r="EU128"/>
  <c r="EQ7"/>
  <c r="EU7"/>
  <c r="EP138"/>
  <c r="ET138"/>
  <c r="EN138"/>
  <c r="ER138"/>
  <c r="EO138"/>
  <c r="ES138"/>
  <c r="EV138"/>
  <c r="EP24"/>
  <c r="ET24"/>
  <c r="EN24"/>
  <c r="ER24"/>
  <c r="EO24"/>
  <c r="ES24"/>
  <c r="BJ24"/>
  <c r="EP128"/>
  <c r="ET128"/>
  <c r="EN128"/>
  <c r="ER128"/>
  <c r="EO128"/>
  <c r="ES128"/>
  <c r="BJ128"/>
  <c r="EN206"/>
  <c r="ER206"/>
  <c r="EO206"/>
  <c r="ES206"/>
  <c r="EP87"/>
  <c r="ET87"/>
  <c r="DY87"/>
  <c r="EN87" s="1"/>
  <c r="EW87" s="1"/>
  <c r="EG87"/>
  <c r="ER87"/>
  <c r="EA87"/>
  <c r="EO87" s="1"/>
  <c r="EV87" s="1"/>
  <c r="EI87"/>
  <c r="ES87" s="1"/>
  <c r="DR87"/>
  <c r="DJ87"/>
  <c r="DB87"/>
  <c r="CT87"/>
  <c r="BJ87"/>
  <c r="EP86"/>
  <c r="ET86"/>
  <c r="EY86" s="1"/>
  <c r="DY86"/>
  <c r="EN86" s="1"/>
  <c r="EG86"/>
  <c r="ER86"/>
  <c r="EA86"/>
  <c r="EO86" s="1"/>
  <c r="EI86"/>
  <c r="ES86" s="1"/>
  <c r="DR86"/>
  <c r="DB86"/>
  <c r="CT86"/>
  <c r="BJ86"/>
  <c r="EP43"/>
  <c r="EY43" s="1"/>
  <c r="ET43"/>
  <c r="EN43"/>
  <c r="ER43"/>
  <c r="EO43"/>
  <c r="ES43"/>
  <c r="BJ43"/>
  <c r="EP42"/>
  <c r="ET42"/>
  <c r="EN42"/>
  <c r="ER42"/>
  <c r="EO42"/>
  <c r="ES42"/>
  <c r="BJ42"/>
  <c r="EP41"/>
  <c r="ET41"/>
  <c r="EN41"/>
  <c r="ER41"/>
  <c r="EO41"/>
  <c r="ES41"/>
  <c r="BJ41"/>
  <c r="EP40"/>
  <c r="ET40"/>
  <c r="EN40"/>
  <c r="ER40"/>
  <c r="ES40"/>
  <c r="BJ40"/>
  <c r="EP39"/>
  <c r="ET39"/>
  <c r="EN39"/>
  <c r="ER39"/>
  <c r="EO39"/>
  <c r="ES39"/>
  <c r="BJ39"/>
  <c r="EP38"/>
  <c r="ET38"/>
  <c r="EN38"/>
  <c r="ER38"/>
  <c r="EO38"/>
  <c r="ES38"/>
  <c r="BJ38"/>
  <c r="EP37"/>
  <c r="ET37"/>
  <c r="EY37" s="1"/>
  <c r="EN37"/>
  <c r="ER37"/>
  <c r="EO37"/>
  <c r="ES37"/>
  <c r="BJ37"/>
  <c r="EP36"/>
  <c r="ET36"/>
  <c r="EN36"/>
  <c r="ER36"/>
  <c r="EO36"/>
  <c r="ES36"/>
  <c r="BJ36"/>
  <c r="EP35"/>
  <c r="ET35"/>
  <c r="EN35"/>
  <c r="ER35"/>
  <c r="EO35"/>
  <c r="ES35"/>
  <c r="BJ35"/>
  <c r="EP34"/>
  <c r="EY34" s="1"/>
  <c r="ET34"/>
  <c r="EN34"/>
  <c r="ER34"/>
  <c r="EO34"/>
  <c r="ES34"/>
  <c r="EV34" s="1"/>
  <c r="BJ34"/>
  <c r="EP33"/>
  <c r="ET33"/>
  <c r="EY33"/>
  <c r="EN33"/>
  <c r="ER33"/>
  <c r="EO33"/>
  <c r="ES33"/>
  <c r="BJ33"/>
  <c r="EP46"/>
  <c r="ET46"/>
  <c r="EN46"/>
  <c r="ER46"/>
  <c r="EO46"/>
  <c r="ES46"/>
  <c r="BJ46"/>
  <c r="EP45"/>
  <c r="ET45"/>
  <c r="EN45"/>
  <c r="ER45"/>
  <c r="EO45"/>
  <c r="ES45"/>
  <c r="BJ45"/>
  <c r="EP44"/>
  <c r="ET44"/>
  <c r="DY44"/>
  <c r="EN44" s="1"/>
  <c r="EG44"/>
  <c r="ER44"/>
  <c r="EA44"/>
  <c r="EO44" s="1"/>
  <c r="EI44"/>
  <c r="ES44"/>
  <c r="BJ44"/>
  <c r="EP219"/>
  <c r="ET219"/>
  <c r="EY219" s="1"/>
  <c r="EN219"/>
  <c r="ER219"/>
  <c r="EO219"/>
  <c r="ES219"/>
  <c r="BJ219"/>
  <c r="EP198"/>
  <c r="ET198"/>
  <c r="DY198"/>
  <c r="EN198"/>
  <c r="EG198"/>
  <c r="ER198" s="1"/>
  <c r="EA198"/>
  <c r="EO198"/>
  <c r="EI198"/>
  <c r="ES198" s="1"/>
  <c r="BJ198"/>
  <c r="EP197"/>
  <c r="ET197"/>
  <c r="DY197"/>
  <c r="EN197"/>
  <c r="EG197"/>
  <c r="ER197" s="1"/>
  <c r="EA197"/>
  <c r="EO197"/>
  <c r="EI197"/>
  <c r="ES197" s="1"/>
  <c r="EV197" s="1"/>
  <c r="BJ197"/>
  <c r="EP141"/>
  <c r="ET141"/>
  <c r="EN141"/>
  <c r="ER141"/>
  <c r="ES141"/>
  <c r="FA114"/>
  <c r="EZ114"/>
  <c r="EI54"/>
  <c r="EG54"/>
  <c r="ER54" s="1"/>
  <c r="EP116"/>
  <c r="EY116" s="1"/>
  <c r="EO116"/>
  <c r="EV116" s="1"/>
  <c r="ET116"/>
  <c r="ES116"/>
  <c r="EN116"/>
  <c r="ER116"/>
  <c r="EP48"/>
  <c r="EO48"/>
  <c r="EV48" s="1"/>
  <c r="ET48"/>
  <c r="ES48"/>
  <c r="EN48"/>
  <c r="ER48"/>
  <c r="EY48"/>
  <c r="EP185"/>
  <c r="EO185"/>
  <c r="ET185"/>
  <c r="ES185"/>
  <c r="EN185"/>
  <c r="ER185"/>
  <c r="EY185"/>
  <c r="EP186"/>
  <c r="EY186" s="1"/>
  <c r="EO186"/>
  <c r="ET186"/>
  <c r="ES186"/>
  <c r="EN186"/>
  <c r="ER186"/>
  <c r="EP187"/>
  <c r="EY187" s="1"/>
  <c r="EO187"/>
  <c r="ET187"/>
  <c r="ES187"/>
  <c r="EV187"/>
  <c r="EN187"/>
  <c r="ER187"/>
  <c r="EP188"/>
  <c r="EY188" s="1"/>
  <c r="EO188"/>
  <c r="ET188"/>
  <c r="ES188"/>
  <c r="EN188"/>
  <c r="ER188"/>
  <c r="EP189"/>
  <c r="EO189"/>
  <c r="EV189" s="1"/>
  <c r="ET189"/>
  <c r="ES189"/>
  <c r="EN189"/>
  <c r="ER189"/>
  <c r="EY189"/>
  <c r="EP190"/>
  <c r="EO190"/>
  <c r="ET190"/>
  <c r="ES190"/>
  <c r="EN190"/>
  <c r="ER190"/>
  <c r="EY190"/>
  <c r="EP191"/>
  <c r="EO191"/>
  <c r="ET191"/>
  <c r="ES191"/>
  <c r="EV191" s="1"/>
  <c r="EN191"/>
  <c r="ER191"/>
  <c r="EY191"/>
  <c r="EP192"/>
  <c r="EY192" s="1"/>
  <c r="EO192"/>
  <c r="ET192"/>
  <c r="ES192"/>
  <c r="EN192"/>
  <c r="ER192"/>
  <c r="EP193"/>
  <c r="EY193" s="1"/>
  <c r="EO193"/>
  <c r="ET193"/>
  <c r="ES193"/>
  <c r="EN193"/>
  <c r="ER193"/>
  <c r="EP194"/>
  <c r="EO194"/>
  <c r="EV194" s="1"/>
  <c r="ET194"/>
  <c r="ES194"/>
  <c r="EN194"/>
  <c r="ER194"/>
  <c r="EY194"/>
  <c r="EP195"/>
  <c r="EO195"/>
  <c r="ET195"/>
  <c r="EY195" s="1"/>
  <c r="ES195"/>
  <c r="EN195"/>
  <c r="ER195"/>
  <c r="EP196"/>
  <c r="EO196"/>
  <c r="ET196"/>
  <c r="ES196"/>
  <c r="EN196"/>
  <c r="ER196"/>
  <c r="EY196"/>
  <c r="EP74"/>
  <c r="EY74" s="1"/>
  <c r="EO74"/>
  <c r="ET74"/>
  <c r="ES74"/>
  <c r="EN74"/>
  <c r="ER74"/>
  <c r="EP75"/>
  <c r="EY75" s="1"/>
  <c r="EO75"/>
  <c r="ET75"/>
  <c r="ES75"/>
  <c r="EN75"/>
  <c r="ER75"/>
  <c r="EP76"/>
  <c r="EO76"/>
  <c r="ET76"/>
  <c r="ES76"/>
  <c r="EN76"/>
  <c r="ER76"/>
  <c r="EY76"/>
  <c r="EP77"/>
  <c r="EO77"/>
  <c r="ET77"/>
  <c r="ES77"/>
  <c r="EN77"/>
  <c r="ER77"/>
  <c r="EY77"/>
  <c r="EP13"/>
  <c r="EY13" s="1"/>
  <c r="EO13"/>
  <c r="ET13"/>
  <c r="ES13"/>
  <c r="EN13"/>
  <c r="ER13"/>
  <c r="EP14"/>
  <c r="EY14" s="1"/>
  <c r="EO14"/>
  <c r="ET14"/>
  <c r="ES14"/>
  <c r="EN14"/>
  <c r="ER14"/>
  <c r="EP180"/>
  <c r="EO180"/>
  <c r="ET180"/>
  <c r="ES180"/>
  <c r="EN180"/>
  <c r="ER180"/>
  <c r="EY180"/>
  <c r="EP181"/>
  <c r="EO181"/>
  <c r="ET181"/>
  <c r="ES181"/>
  <c r="EN181"/>
  <c r="ER181"/>
  <c r="EY181"/>
  <c r="EP182"/>
  <c r="EY182" s="1"/>
  <c r="EO182"/>
  <c r="ET182"/>
  <c r="ES182"/>
  <c r="EN182"/>
  <c r="ER182"/>
  <c r="EP183"/>
  <c r="EY183" s="1"/>
  <c r="EO183"/>
  <c r="ET183"/>
  <c r="ES183"/>
  <c r="EN183"/>
  <c r="ER183"/>
  <c r="EP59"/>
  <c r="EO59"/>
  <c r="ET59"/>
  <c r="ES59"/>
  <c r="EN59"/>
  <c r="ER59"/>
  <c r="EY59"/>
  <c r="EP60"/>
  <c r="EO60"/>
  <c r="ET60"/>
  <c r="ES60"/>
  <c r="EN60"/>
  <c r="ER60"/>
  <c r="EY60"/>
  <c r="EP61"/>
  <c r="EY61" s="1"/>
  <c r="EO61"/>
  <c r="ET61"/>
  <c r="ES61"/>
  <c r="EN61"/>
  <c r="ER61"/>
  <c r="EP62"/>
  <c r="EY62" s="1"/>
  <c r="EO62"/>
  <c r="ET62"/>
  <c r="ES62"/>
  <c r="EN62"/>
  <c r="ER62"/>
  <c r="EP63"/>
  <c r="EO63"/>
  <c r="ET63"/>
  <c r="ES63"/>
  <c r="EN63"/>
  <c r="ER63"/>
  <c r="EY63"/>
  <c r="EP64"/>
  <c r="EO64"/>
  <c r="ET64"/>
  <c r="ES64"/>
  <c r="EN64"/>
  <c r="ER64"/>
  <c r="EY64"/>
  <c r="EP156"/>
  <c r="EY156" s="1"/>
  <c r="EO156"/>
  <c r="ET156"/>
  <c r="ES156"/>
  <c r="EN156"/>
  <c r="ER156"/>
  <c r="EP157"/>
  <c r="EY157" s="1"/>
  <c r="EO157"/>
  <c r="ET157"/>
  <c r="ES157"/>
  <c r="EN157"/>
  <c r="ER157"/>
  <c r="EP158"/>
  <c r="EO158"/>
  <c r="EV158" s="1"/>
  <c r="ET158"/>
  <c r="ES158"/>
  <c r="EN158"/>
  <c r="ER158"/>
  <c r="EY158"/>
  <c r="EP159"/>
  <c r="EO159"/>
  <c r="ET159"/>
  <c r="ES159"/>
  <c r="EN159"/>
  <c r="ER159"/>
  <c r="EY159"/>
  <c r="EP160"/>
  <c r="EY160" s="1"/>
  <c r="EO160"/>
  <c r="ET160"/>
  <c r="ES160"/>
  <c r="EN160"/>
  <c r="ER160"/>
  <c r="EP161"/>
  <c r="EY161" s="1"/>
  <c r="EO161"/>
  <c r="ET161"/>
  <c r="ES161"/>
  <c r="EN161"/>
  <c r="ER161"/>
  <c r="EP162"/>
  <c r="EO162"/>
  <c r="EV162" s="1"/>
  <c r="ET162"/>
  <c r="ES162"/>
  <c r="EN162"/>
  <c r="ER162"/>
  <c r="EY162"/>
  <c r="EP163"/>
  <c r="EO163"/>
  <c r="ET163"/>
  <c r="ES163"/>
  <c r="EN163"/>
  <c r="ER163"/>
  <c r="EY163"/>
  <c r="EP164"/>
  <c r="EY164" s="1"/>
  <c r="EO164"/>
  <c r="ET164"/>
  <c r="ES164"/>
  <c r="EN164"/>
  <c r="ER164"/>
  <c r="EP165"/>
  <c r="EY165" s="1"/>
  <c r="EO165"/>
  <c r="ET165"/>
  <c r="ES165"/>
  <c r="EN165"/>
  <c r="ER165"/>
  <c r="EP166"/>
  <c r="EO166"/>
  <c r="EV166" s="1"/>
  <c r="ET166"/>
  <c r="ES166"/>
  <c r="EN166"/>
  <c r="ER166"/>
  <c r="EY166"/>
  <c r="EP167"/>
  <c r="EO167"/>
  <c r="ET167"/>
  <c r="ES167"/>
  <c r="EN167"/>
  <c r="ER167"/>
  <c r="EY167"/>
  <c r="EP168"/>
  <c r="EY168" s="1"/>
  <c r="EO168"/>
  <c r="ET168"/>
  <c r="ES168"/>
  <c r="EN168"/>
  <c r="ER168"/>
  <c r="EP169"/>
  <c r="EY169" s="1"/>
  <c r="EO169"/>
  <c r="ET169"/>
  <c r="ES169"/>
  <c r="EN169"/>
  <c r="ER169"/>
  <c r="EP170"/>
  <c r="EO170"/>
  <c r="EV170" s="1"/>
  <c r="ET170"/>
  <c r="ES170"/>
  <c r="EN170"/>
  <c r="ER170"/>
  <c r="EY170"/>
  <c r="EP171"/>
  <c r="EO171"/>
  <c r="ET171"/>
  <c r="EY171" s="1"/>
  <c r="ES171"/>
  <c r="EN171"/>
  <c r="ER171"/>
  <c r="EP172"/>
  <c r="EY172" s="1"/>
  <c r="EA172"/>
  <c r="EO172" s="1"/>
  <c r="ET172"/>
  <c r="EI172"/>
  <c r="ES172" s="1"/>
  <c r="DY172"/>
  <c r="EN172" s="1"/>
  <c r="EG172"/>
  <c r="ER172"/>
  <c r="EP173"/>
  <c r="EA173"/>
  <c r="EO173"/>
  <c r="ET173"/>
  <c r="EI173"/>
  <c r="ES173" s="1"/>
  <c r="DY173"/>
  <c r="EN173" s="1"/>
  <c r="EG173"/>
  <c r="ER173"/>
  <c r="EY173"/>
  <c r="EP174"/>
  <c r="EA174"/>
  <c r="EO174"/>
  <c r="ET174"/>
  <c r="EY174" s="1"/>
  <c r="EI174"/>
  <c r="ES174" s="1"/>
  <c r="DY174"/>
  <c r="EN174"/>
  <c r="EG174"/>
  <c r="ER174" s="1"/>
  <c r="EP175"/>
  <c r="EA175"/>
  <c r="EO175" s="1"/>
  <c r="ET175"/>
  <c r="EI175"/>
  <c r="ES175" s="1"/>
  <c r="DY175"/>
  <c r="EN175"/>
  <c r="EG175"/>
  <c r="ER175" s="1"/>
  <c r="EP88"/>
  <c r="EY88" s="1"/>
  <c r="EA88"/>
  <c r="EO88" s="1"/>
  <c r="ET88"/>
  <c r="EI88"/>
  <c r="ES88" s="1"/>
  <c r="DY88"/>
  <c r="EN88" s="1"/>
  <c r="EG88"/>
  <c r="ER88"/>
  <c r="EP89"/>
  <c r="EA89"/>
  <c r="EO89"/>
  <c r="EV89" s="1"/>
  <c r="ET89"/>
  <c r="EI89"/>
  <c r="ES89" s="1"/>
  <c r="DY89"/>
  <c r="EN89" s="1"/>
  <c r="EG89"/>
  <c r="ER89"/>
  <c r="EY89"/>
  <c r="EP96"/>
  <c r="EO96"/>
  <c r="ET96"/>
  <c r="ES96"/>
  <c r="EN96"/>
  <c r="ER96"/>
  <c r="EP97"/>
  <c r="EO97"/>
  <c r="ET97"/>
  <c r="EY97" s="1"/>
  <c r="ES97"/>
  <c r="EN97"/>
  <c r="ER97"/>
  <c r="EP98"/>
  <c r="EY98" s="1"/>
  <c r="EO98"/>
  <c r="ET98"/>
  <c r="ES98"/>
  <c r="EV98"/>
  <c r="EN98"/>
  <c r="ER98"/>
  <c r="EP99"/>
  <c r="EO99"/>
  <c r="ET99"/>
  <c r="ES99"/>
  <c r="EN99"/>
  <c r="ER99"/>
  <c r="EP100"/>
  <c r="EO100"/>
  <c r="ET100"/>
  <c r="ES100"/>
  <c r="EN100"/>
  <c r="ER100"/>
  <c r="EP101"/>
  <c r="EO101"/>
  <c r="ET101"/>
  <c r="EY101" s="1"/>
  <c r="ES101"/>
  <c r="EN101"/>
  <c r="ER101"/>
  <c r="EP179"/>
  <c r="EA179"/>
  <c r="EO179" s="1"/>
  <c r="ET179"/>
  <c r="EI179"/>
  <c r="ES179" s="1"/>
  <c r="DY179"/>
  <c r="EN179"/>
  <c r="EG179"/>
  <c r="ER179"/>
  <c r="EY179"/>
  <c r="EP25"/>
  <c r="EA25"/>
  <c r="EO25"/>
  <c r="ET25"/>
  <c r="EI25"/>
  <c r="ES25" s="1"/>
  <c r="DY25"/>
  <c r="EN25"/>
  <c r="EG25"/>
  <c r="ER25"/>
  <c r="EP26"/>
  <c r="EA26"/>
  <c r="EO26" s="1"/>
  <c r="ET26"/>
  <c r="EI26"/>
  <c r="ES26" s="1"/>
  <c r="DY26"/>
  <c r="EN26" s="1"/>
  <c r="EG26"/>
  <c r="ER26"/>
  <c r="EY26"/>
  <c r="EP220"/>
  <c r="EO220"/>
  <c r="ET220"/>
  <c r="EY220" s="1"/>
  <c r="ES220"/>
  <c r="EN220"/>
  <c r="ER220"/>
  <c r="EP221"/>
  <c r="EY221" s="1"/>
  <c r="EO221"/>
  <c r="EV221" s="1"/>
  <c r="ET221"/>
  <c r="ES221"/>
  <c r="EN221"/>
  <c r="ER221"/>
  <c r="EP19"/>
  <c r="EO19"/>
  <c r="ET19"/>
  <c r="ES19"/>
  <c r="EN19"/>
  <c r="ER19"/>
  <c r="EP20"/>
  <c r="EO20"/>
  <c r="ET20"/>
  <c r="ES20"/>
  <c r="EN20"/>
  <c r="ER20"/>
  <c r="EY20"/>
  <c r="EP31"/>
  <c r="EO31"/>
  <c r="ET31"/>
  <c r="EY31" s="1"/>
  <c r="ES31"/>
  <c r="EN31"/>
  <c r="ER31"/>
  <c r="EP32"/>
  <c r="EY32" s="1"/>
  <c r="EO32"/>
  <c r="EV32" s="1"/>
  <c r="ET32"/>
  <c r="ES32"/>
  <c r="EN32"/>
  <c r="ER32"/>
  <c r="ES54"/>
  <c r="EP54"/>
  <c r="EA54"/>
  <c r="EO54" s="1"/>
  <c r="ET54"/>
  <c r="DY54"/>
  <c r="EN54" s="1"/>
  <c r="EP104"/>
  <c r="EA104"/>
  <c r="EO104" s="1"/>
  <c r="ET104"/>
  <c r="EI104"/>
  <c r="ES104"/>
  <c r="DY104"/>
  <c r="EN104"/>
  <c r="EG104"/>
  <c r="ER104" s="1"/>
  <c r="EP105"/>
  <c r="EA105"/>
  <c r="EO105" s="1"/>
  <c r="ET105"/>
  <c r="EI105"/>
  <c r="ES105" s="1"/>
  <c r="DY105"/>
  <c r="EN105" s="1"/>
  <c r="EG105"/>
  <c r="ER105" s="1"/>
  <c r="EP106"/>
  <c r="EA106"/>
  <c r="EO106" s="1"/>
  <c r="ET106"/>
  <c r="EI106"/>
  <c r="ES106"/>
  <c r="DY106"/>
  <c r="EN106" s="1"/>
  <c r="EG106"/>
  <c r="ER106" s="1"/>
  <c r="EP107"/>
  <c r="EA107"/>
  <c r="EO107" s="1"/>
  <c r="ET107"/>
  <c r="EI107"/>
  <c r="ES107" s="1"/>
  <c r="DY107"/>
  <c r="EN107"/>
  <c r="EG107"/>
  <c r="ER107" s="1"/>
  <c r="EP108"/>
  <c r="EA108"/>
  <c r="EO108" s="1"/>
  <c r="ET108"/>
  <c r="EY108" s="1"/>
  <c r="EI108"/>
  <c r="ES108"/>
  <c r="DY108"/>
  <c r="EN108"/>
  <c r="EG108"/>
  <c r="ER108"/>
  <c r="EP109"/>
  <c r="EA109"/>
  <c r="EO109"/>
  <c r="ET109"/>
  <c r="EI109"/>
  <c r="ES109" s="1"/>
  <c r="DY109"/>
  <c r="EN109"/>
  <c r="EG109"/>
  <c r="ER109"/>
  <c r="EP110"/>
  <c r="EA110"/>
  <c r="EO110" s="1"/>
  <c r="ET110"/>
  <c r="EI110"/>
  <c r="ES110"/>
  <c r="DY110"/>
  <c r="EN110"/>
  <c r="EG110"/>
  <c r="ER110" s="1"/>
  <c r="EY110"/>
  <c r="EP111"/>
  <c r="EA111"/>
  <c r="EO111"/>
  <c r="ET111"/>
  <c r="EV111" s="1"/>
  <c r="EI111"/>
  <c r="ES111"/>
  <c r="DY111"/>
  <c r="EN111" s="1"/>
  <c r="EG111"/>
  <c r="ER111"/>
  <c r="EY111"/>
  <c r="EP149"/>
  <c r="EY149" s="1"/>
  <c r="EA149"/>
  <c r="EO149"/>
  <c r="ET149"/>
  <c r="EI149"/>
  <c r="ES149"/>
  <c r="EV149"/>
  <c r="DY149"/>
  <c r="EN149"/>
  <c r="EG149"/>
  <c r="ER149"/>
  <c r="EP150"/>
  <c r="EY150" s="1"/>
  <c r="EA150"/>
  <c r="EO150"/>
  <c r="ET150"/>
  <c r="EI150"/>
  <c r="ES150"/>
  <c r="EV150"/>
  <c r="DY150"/>
  <c r="EN150"/>
  <c r="EG150"/>
  <c r="ER150"/>
  <c r="EP151"/>
  <c r="EA151"/>
  <c r="EO151" s="1"/>
  <c r="ET151"/>
  <c r="EY151" s="1"/>
  <c r="EI151"/>
  <c r="ES151"/>
  <c r="DY151"/>
  <c r="EN151"/>
  <c r="EG151"/>
  <c r="ER151" s="1"/>
  <c r="EP152"/>
  <c r="EA152"/>
  <c r="EO152" s="1"/>
  <c r="ET152"/>
  <c r="EI152"/>
  <c r="ES152"/>
  <c r="DY152"/>
  <c r="EN152"/>
  <c r="EG152"/>
  <c r="ER152" s="1"/>
  <c r="EP153"/>
  <c r="EV153" s="1"/>
  <c r="EA153"/>
  <c r="EO153"/>
  <c r="ET153"/>
  <c r="EI153"/>
  <c r="ES153" s="1"/>
  <c r="DY153"/>
  <c r="EN153"/>
  <c r="EG153"/>
  <c r="ER153"/>
  <c r="EY153"/>
  <c r="EP154"/>
  <c r="EA154"/>
  <c r="EO154"/>
  <c r="ET154"/>
  <c r="EI154"/>
  <c r="ES154" s="1"/>
  <c r="DY154"/>
  <c r="EN154"/>
  <c r="EG154"/>
  <c r="ER154"/>
  <c r="EY154"/>
  <c r="EP205"/>
  <c r="EY205" s="1"/>
  <c r="EO205"/>
  <c r="ET205"/>
  <c r="ES205"/>
  <c r="EN205"/>
  <c r="ER205"/>
  <c r="EP208"/>
  <c r="EO208"/>
  <c r="ET208"/>
  <c r="EY208" s="1"/>
  <c r="ES208"/>
  <c r="EN208"/>
  <c r="ER208"/>
  <c r="EP209"/>
  <c r="EO209"/>
  <c r="ET209"/>
  <c r="ES209"/>
  <c r="EN209"/>
  <c r="ER209"/>
  <c r="EP10"/>
  <c r="EO10"/>
  <c r="ET10"/>
  <c r="EY10" s="1"/>
  <c r="ES10"/>
  <c r="EN10"/>
  <c r="ER10"/>
  <c r="EP11"/>
  <c r="EO11"/>
  <c r="ET11"/>
  <c r="ES11"/>
  <c r="EN11"/>
  <c r="ER11"/>
  <c r="EP93"/>
  <c r="EO93"/>
  <c r="ET93"/>
  <c r="EY93" s="1"/>
  <c r="ES93"/>
  <c r="EN93"/>
  <c r="ER93"/>
  <c r="EP94"/>
  <c r="EO94"/>
  <c r="ET94"/>
  <c r="ES94"/>
  <c r="EN94"/>
  <c r="ER94"/>
  <c r="EP95"/>
  <c r="EO95"/>
  <c r="ET95"/>
  <c r="EY95" s="1"/>
  <c r="ES95"/>
  <c r="EN95"/>
  <c r="ER95"/>
  <c r="EP210"/>
  <c r="EO210"/>
  <c r="ET210"/>
  <c r="ES210"/>
  <c r="EN210"/>
  <c r="ER210"/>
  <c r="EP211"/>
  <c r="EO211"/>
  <c r="ET211"/>
  <c r="EY211" s="1"/>
  <c r="ES211"/>
  <c r="EN211"/>
  <c r="ER211"/>
  <c r="EP212"/>
  <c r="EO212"/>
  <c r="ET212"/>
  <c r="ES212"/>
  <c r="EN212"/>
  <c r="ER212"/>
  <c r="EP214"/>
  <c r="EO214"/>
  <c r="ET214"/>
  <c r="EY214" s="1"/>
  <c r="ES214"/>
  <c r="EN214"/>
  <c r="ER214"/>
  <c r="EP215"/>
  <c r="EO215"/>
  <c r="ET215"/>
  <c r="ES215"/>
  <c r="EN215"/>
  <c r="ER215"/>
  <c r="EP216"/>
  <c r="EO216"/>
  <c r="ET216"/>
  <c r="EY216" s="1"/>
  <c r="ES216"/>
  <c r="EN216"/>
  <c r="ER216"/>
  <c r="EP57"/>
  <c r="EA57"/>
  <c r="EO57" s="1"/>
  <c r="ET57"/>
  <c r="EY57" s="1"/>
  <c r="EI57"/>
  <c r="ES57" s="1"/>
  <c r="DY57"/>
  <c r="EN57" s="1"/>
  <c r="EG57"/>
  <c r="ER57"/>
  <c r="EP120"/>
  <c r="EA120"/>
  <c r="EO120"/>
  <c r="ET120"/>
  <c r="EY120" s="1"/>
  <c r="EI120"/>
  <c r="ES120"/>
  <c r="DY120"/>
  <c r="EN120" s="1"/>
  <c r="EG120"/>
  <c r="ER120" s="1"/>
  <c r="EP121"/>
  <c r="EA121"/>
  <c r="EO121"/>
  <c r="ET121"/>
  <c r="EI121"/>
  <c r="ES121"/>
  <c r="DY121"/>
  <c r="EN121" s="1"/>
  <c r="EG121"/>
  <c r="ER121"/>
  <c r="EP122"/>
  <c r="EA122"/>
  <c r="EO122" s="1"/>
  <c r="ET122"/>
  <c r="EI122"/>
  <c r="ES122" s="1"/>
  <c r="DY122"/>
  <c r="EN122" s="1"/>
  <c r="EG122"/>
  <c r="ER122"/>
  <c r="EP123"/>
  <c r="EA123"/>
  <c r="EO123"/>
  <c r="ET123"/>
  <c r="EY123" s="1"/>
  <c r="EI123"/>
  <c r="ES123"/>
  <c r="DY123"/>
  <c r="EN123" s="1"/>
  <c r="EG123"/>
  <c r="ER123" s="1"/>
  <c r="EP124"/>
  <c r="EA124"/>
  <c r="EO124"/>
  <c r="ET124"/>
  <c r="EY124" s="1"/>
  <c r="EI124"/>
  <c r="ES124"/>
  <c r="DY124"/>
  <c r="EN124" s="1"/>
  <c r="EG124"/>
  <c r="ER124" s="1"/>
  <c r="EP125"/>
  <c r="EA125"/>
  <c r="EO125" s="1"/>
  <c r="ET125"/>
  <c r="EI125"/>
  <c r="ES125" s="1"/>
  <c r="DY125"/>
  <c r="EN125" s="1"/>
  <c r="EG125"/>
  <c r="ER125"/>
  <c r="EP142"/>
  <c r="EY142" s="1"/>
  <c r="ET142"/>
  <c r="ES142"/>
  <c r="EN142"/>
  <c r="ER142"/>
  <c r="EP143"/>
  <c r="ET143"/>
  <c r="EY143" s="1"/>
  <c r="ES143"/>
  <c r="EN143"/>
  <c r="ER143"/>
  <c r="EP144"/>
  <c r="EO144"/>
  <c r="ET144"/>
  <c r="ES144"/>
  <c r="EN144"/>
  <c r="ER144"/>
  <c r="EP145"/>
  <c r="ET145"/>
  <c r="ES145"/>
  <c r="EV145" s="1"/>
  <c r="EN145"/>
  <c r="ER145"/>
  <c r="EP146"/>
  <c r="EO146"/>
  <c r="ET146"/>
  <c r="ES146"/>
  <c r="EN146"/>
  <c r="ER146"/>
  <c r="EO176"/>
  <c r="EP176"/>
  <c r="ET176"/>
  <c r="EY176" s="1"/>
  <c r="ES176"/>
  <c r="EV176" s="1"/>
  <c r="EW176" s="1"/>
  <c r="EX176" s="1"/>
  <c r="EN176"/>
  <c r="ER176"/>
  <c r="EO177"/>
  <c r="EP177"/>
  <c r="EV177" s="1"/>
  <c r="EW177" s="1"/>
  <c r="EX177" s="1"/>
  <c r="ET177"/>
  <c r="ES177"/>
  <c r="EN177"/>
  <c r="ER177"/>
  <c r="EO218"/>
  <c r="EP218"/>
  <c r="ET218"/>
  <c r="EY218" s="1"/>
  <c r="ES218"/>
  <c r="EN218"/>
  <c r="ER218"/>
  <c r="EP9"/>
  <c r="EO9"/>
  <c r="ET9"/>
  <c r="ES9"/>
  <c r="EN9"/>
  <c r="ER9"/>
  <c r="EP135"/>
  <c r="EO135"/>
  <c r="ET135"/>
  <c r="ES135"/>
  <c r="EV135" s="1"/>
  <c r="EW135" s="1"/>
  <c r="EN135"/>
  <c r="ER135"/>
  <c r="EP139"/>
  <c r="EA139"/>
  <c r="EO139" s="1"/>
  <c r="ET139"/>
  <c r="EI139"/>
  <c r="ES139" s="1"/>
  <c r="DY139"/>
  <c r="EN139" s="1"/>
  <c r="EG139"/>
  <c r="ER139" s="1"/>
  <c r="EP140"/>
  <c r="EA140"/>
  <c r="EO140" s="1"/>
  <c r="ET140"/>
  <c r="EI140"/>
  <c r="ES140" s="1"/>
  <c r="DY140"/>
  <c r="EN140" s="1"/>
  <c r="EG140"/>
  <c r="ER140" s="1"/>
  <c r="EP134"/>
  <c r="EY134" s="1"/>
  <c r="EO134"/>
  <c r="EV134" s="1"/>
  <c r="EW134" s="1"/>
  <c r="EX134" s="1"/>
  <c r="FA134" s="1"/>
  <c r="ET134"/>
  <c r="ES134"/>
  <c r="EN134"/>
  <c r="ER134"/>
  <c r="EP3"/>
  <c r="EO3"/>
  <c r="ET3"/>
  <c r="ES3"/>
  <c r="EN3"/>
  <c r="ER3"/>
  <c r="EP49"/>
  <c r="EO49"/>
  <c r="ET49"/>
  <c r="ES49"/>
  <c r="EN49"/>
  <c r="ER49"/>
  <c r="EP78"/>
  <c r="EA78"/>
  <c r="EO78" s="1"/>
  <c r="ET78"/>
  <c r="EI78"/>
  <c r="ES78" s="1"/>
  <c r="DY78"/>
  <c r="EN78" s="1"/>
  <c r="EG78"/>
  <c r="ER78"/>
  <c r="EP79"/>
  <c r="EA79"/>
  <c r="EO79"/>
  <c r="ET79"/>
  <c r="EI79"/>
  <c r="ES79" s="1"/>
  <c r="DY79"/>
  <c r="EN79"/>
  <c r="EG79"/>
  <c r="ER79" s="1"/>
  <c r="EP22"/>
  <c r="EO22"/>
  <c r="ET22"/>
  <c r="ES22"/>
  <c r="EN22"/>
  <c r="ER22"/>
  <c r="EP23"/>
  <c r="EY23" s="1"/>
  <c r="EO23"/>
  <c r="ET23"/>
  <c r="ES23"/>
  <c r="EV23"/>
  <c r="EW23" s="1"/>
  <c r="EX23" s="1"/>
  <c r="FA23" s="1"/>
  <c r="EN23"/>
  <c r="ER23"/>
  <c r="EP6"/>
  <c r="EY6" s="1"/>
  <c r="EO6"/>
  <c r="ET6"/>
  <c r="ES6"/>
  <c r="EN6"/>
  <c r="ER6"/>
  <c r="EP17"/>
  <c r="EO17"/>
  <c r="ET17"/>
  <c r="ES17"/>
  <c r="EN17"/>
  <c r="ER17"/>
  <c r="EP18"/>
  <c r="EY18" s="1"/>
  <c r="EO18"/>
  <c r="ET18"/>
  <c r="ES18"/>
  <c r="EV18" s="1"/>
  <c r="EW18" s="1"/>
  <c r="EN18"/>
  <c r="ER18"/>
  <c r="EP117"/>
  <c r="EO117"/>
  <c r="EV117" s="1"/>
  <c r="EW117" s="1"/>
  <c r="EX117" s="1"/>
  <c r="ET117"/>
  <c r="ES117"/>
  <c r="EN117"/>
  <c r="ER117"/>
  <c r="EP129"/>
  <c r="EO129"/>
  <c r="ET129"/>
  <c r="ES129"/>
  <c r="EV129" s="1"/>
  <c r="EW129" s="1"/>
  <c r="EX129" s="1"/>
  <c r="EN129"/>
  <c r="ER129"/>
  <c r="EP130"/>
  <c r="ET130"/>
  <c r="EI130"/>
  <c r="ES130" s="1"/>
  <c r="DY130"/>
  <c r="EN130" s="1"/>
  <c r="EG130"/>
  <c r="ER130"/>
  <c r="EO118"/>
  <c r="EP118"/>
  <c r="ET118"/>
  <c r="ES118"/>
  <c r="EV118"/>
  <c r="EW118" s="1"/>
  <c r="EX118" s="1"/>
  <c r="EN118"/>
  <c r="ER118"/>
  <c r="EO119"/>
  <c r="EP119"/>
  <c r="ET119"/>
  <c r="ES119"/>
  <c r="EN119"/>
  <c r="ER119"/>
  <c r="EP199"/>
  <c r="EA199"/>
  <c r="EO199" s="1"/>
  <c r="ET199"/>
  <c r="EI199"/>
  <c r="ES199" s="1"/>
  <c r="DY199"/>
  <c r="EN199" s="1"/>
  <c r="EG199"/>
  <c r="ER199" s="1"/>
  <c r="EP15"/>
  <c r="EO15"/>
  <c r="ET15"/>
  <c r="ES15"/>
  <c r="EN15"/>
  <c r="ER15"/>
  <c r="EP16"/>
  <c r="EO16"/>
  <c r="ET16"/>
  <c r="ES16"/>
  <c r="EV16" s="1"/>
  <c r="EW16" s="1"/>
  <c r="EN16"/>
  <c r="ER16"/>
  <c r="EP102"/>
  <c r="EY102" s="1"/>
  <c r="FA102" s="1"/>
  <c r="EO102"/>
  <c r="ET102"/>
  <c r="ES102"/>
  <c r="EV102"/>
  <c r="EW102" s="1"/>
  <c r="EX102" s="1"/>
  <c r="EN102"/>
  <c r="ER102"/>
  <c r="EP103"/>
  <c r="EY103" s="1"/>
  <c r="EO103"/>
  <c r="ET103"/>
  <c r="ES103"/>
  <c r="EN103"/>
  <c r="ER103"/>
  <c r="EP136"/>
  <c r="EO136"/>
  <c r="ET136"/>
  <c r="ES136"/>
  <c r="EN136"/>
  <c r="ER136"/>
  <c r="EP137"/>
  <c r="EY137" s="1"/>
  <c r="EO137"/>
  <c r="ET137"/>
  <c r="ES137"/>
  <c r="EN137"/>
  <c r="ER137"/>
  <c r="EP27"/>
  <c r="EO27"/>
  <c r="ET27"/>
  <c r="ES27"/>
  <c r="EN27"/>
  <c r="ER27"/>
  <c r="EP28"/>
  <c r="EO28"/>
  <c r="ET28"/>
  <c r="ES28"/>
  <c r="EV28" s="1"/>
  <c r="EW28" s="1"/>
  <c r="EN28"/>
  <c r="ER28"/>
  <c r="EP29"/>
  <c r="EY29" s="1"/>
  <c r="EO29"/>
  <c r="EV29" s="1"/>
  <c r="EW29" s="1"/>
  <c r="EX29" s="1"/>
  <c r="FA29" s="1"/>
  <c r="ET29"/>
  <c r="ES29"/>
  <c r="EN29"/>
  <c r="ER29"/>
  <c r="EP30"/>
  <c r="EO30"/>
  <c r="ET30"/>
  <c r="ES30"/>
  <c r="EN30"/>
  <c r="ER30"/>
  <c r="EP178"/>
  <c r="EY178" s="1"/>
  <c r="EO178"/>
  <c r="ET178"/>
  <c r="ES178"/>
  <c r="EV178"/>
  <c r="EW178" s="1"/>
  <c r="EX178" s="1"/>
  <c r="FA178" s="1"/>
  <c r="EN178"/>
  <c r="ER178"/>
  <c r="EP147"/>
  <c r="EY147" s="1"/>
  <c r="EO147"/>
  <c r="ET147"/>
  <c r="ES147"/>
  <c r="EN147"/>
  <c r="ER147"/>
  <c r="EP133"/>
  <c r="EO133"/>
  <c r="ET133"/>
  <c r="ES133"/>
  <c r="EN133"/>
  <c r="ER133"/>
  <c r="EY133"/>
  <c r="EP68"/>
  <c r="EA68"/>
  <c r="EO68" s="1"/>
  <c r="ET68"/>
  <c r="EI68"/>
  <c r="ES68" s="1"/>
  <c r="DY68"/>
  <c r="EN68"/>
  <c r="EG68"/>
  <c r="ER68" s="1"/>
  <c r="EP69"/>
  <c r="EA69"/>
  <c r="EO69"/>
  <c r="ET69"/>
  <c r="EI69"/>
  <c r="ES69" s="1"/>
  <c r="EV69"/>
  <c r="DY69"/>
  <c r="EN69" s="1"/>
  <c r="EG69"/>
  <c r="ER69"/>
  <c r="EY69"/>
  <c r="EP70"/>
  <c r="EA70"/>
  <c r="EO70"/>
  <c r="EV70" s="1"/>
  <c r="ET70"/>
  <c r="EY70" s="1"/>
  <c r="EI70"/>
  <c r="ES70" s="1"/>
  <c r="DY70"/>
  <c r="EN70" s="1"/>
  <c r="EG70"/>
  <c r="ER70"/>
  <c r="EP50"/>
  <c r="EO50"/>
  <c r="ET50"/>
  <c r="ES50"/>
  <c r="EN50"/>
  <c r="ER50"/>
  <c r="EY50"/>
  <c r="EP202"/>
  <c r="EY202" s="1"/>
  <c r="EA202"/>
  <c r="EO202" s="1"/>
  <c r="ET202"/>
  <c r="EI202"/>
  <c r="ES202"/>
  <c r="DY202"/>
  <c r="EN202" s="1"/>
  <c r="EG202"/>
  <c r="ER202" s="1"/>
  <c r="EP80"/>
  <c r="EA80"/>
  <c r="EO80"/>
  <c r="EV80" s="1"/>
  <c r="ET80"/>
  <c r="EI80"/>
  <c r="ES80" s="1"/>
  <c r="DY80"/>
  <c r="EN80" s="1"/>
  <c r="EG80"/>
  <c r="ER80"/>
  <c r="EY80"/>
  <c r="EP81"/>
  <c r="EA81"/>
  <c r="EO81"/>
  <c r="EV81" s="1"/>
  <c r="ET81"/>
  <c r="EY81" s="1"/>
  <c r="EI81"/>
  <c r="ES81" s="1"/>
  <c r="DY81"/>
  <c r="EN81" s="1"/>
  <c r="EG81"/>
  <c r="ER81"/>
  <c r="EP83"/>
  <c r="EA83"/>
  <c r="EO83"/>
  <c r="EV83" s="1"/>
  <c r="ET83"/>
  <c r="EI83"/>
  <c r="ES83" s="1"/>
  <c r="DY83"/>
  <c r="EN83" s="1"/>
  <c r="EG83"/>
  <c r="ER83"/>
  <c r="EY83"/>
  <c r="EP84"/>
  <c r="EA84"/>
  <c r="EO84" s="1"/>
  <c r="ET84"/>
  <c r="EY84" s="1"/>
  <c r="EI84"/>
  <c r="ES84" s="1"/>
  <c r="DY84"/>
  <c r="EN84"/>
  <c r="EG84"/>
  <c r="ER84" s="1"/>
  <c r="EP51"/>
  <c r="EO51"/>
  <c r="ET51"/>
  <c r="ES51"/>
  <c r="EN51"/>
  <c r="ER51"/>
  <c r="EY51"/>
  <c r="EP155"/>
  <c r="EO155"/>
  <c r="ET155"/>
  <c r="ES155"/>
  <c r="EN155"/>
  <c r="ER155"/>
  <c r="EY155"/>
  <c r="EP4"/>
  <c r="EY4" s="1"/>
  <c r="EO4"/>
  <c r="ET4"/>
  <c r="ES4"/>
  <c r="EN4"/>
  <c r="ER4"/>
  <c r="EP5"/>
  <c r="EY5" s="1"/>
  <c r="EO5"/>
  <c r="ET5"/>
  <c r="ES5"/>
  <c r="EN5"/>
  <c r="ER5"/>
  <c r="EP52"/>
  <c r="EA52"/>
  <c r="EO52"/>
  <c r="EV52" s="1"/>
  <c r="ET52"/>
  <c r="EI52"/>
  <c r="ES52"/>
  <c r="DY52"/>
  <c r="EN52" s="1"/>
  <c r="EW52" s="1"/>
  <c r="EX52" s="1"/>
  <c r="EG52"/>
  <c r="ER52"/>
  <c r="EY52"/>
  <c r="EP53"/>
  <c r="EA53"/>
  <c r="EO53" s="1"/>
  <c r="EV53" s="1"/>
  <c r="ET53"/>
  <c r="EI53"/>
  <c r="ES53"/>
  <c r="DY53"/>
  <c r="EN53" s="1"/>
  <c r="EG53"/>
  <c r="ER53"/>
  <c r="EY53"/>
  <c r="EO200"/>
  <c r="EP200"/>
  <c r="ET200"/>
  <c r="ES200"/>
  <c r="EN200"/>
  <c r="ER200"/>
  <c r="EY200"/>
  <c r="EO201"/>
  <c r="EP201"/>
  <c r="ET201"/>
  <c r="ES201"/>
  <c r="EN201"/>
  <c r="ER201"/>
  <c r="EP55"/>
  <c r="EY55" s="1"/>
  <c r="EO55"/>
  <c r="ET55"/>
  <c r="ES55"/>
  <c r="EN55"/>
  <c r="ER55"/>
  <c r="EP56"/>
  <c r="EO56"/>
  <c r="ET56"/>
  <c r="EY56" s="1"/>
  <c r="ES56"/>
  <c r="EN56"/>
  <c r="ER56"/>
  <c r="EP8"/>
  <c r="EY8" s="1"/>
  <c r="EO8"/>
  <c r="ET8"/>
  <c r="ES8"/>
  <c r="EN8"/>
  <c r="ER8"/>
  <c r="EB47"/>
  <c r="EP47"/>
  <c r="EA47"/>
  <c r="EO47" s="1"/>
  <c r="EJ47"/>
  <c r="ET47"/>
  <c r="EI47"/>
  <c r="ES47" s="1"/>
  <c r="DY47"/>
  <c r="EN47" s="1"/>
  <c r="EG47"/>
  <c r="ER47"/>
  <c r="EP12"/>
  <c r="EY12" s="1"/>
  <c r="EO12"/>
  <c r="ET12"/>
  <c r="ES12"/>
  <c r="EV12"/>
  <c r="EW12" s="1"/>
  <c r="EX12" s="1"/>
  <c r="FA12" s="1"/>
  <c r="EN12"/>
  <c r="ER12"/>
  <c r="EP115"/>
  <c r="EY115" s="1"/>
  <c r="EO115"/>
  <c r="ET115"/>
  <c r="ES115"/>
  <c r="EN115"/>
  <c r="ER115"/>
  <c r="EP7"/>
  <c r="EY7" s="1"/>
  <c r="EO7"/>
  <c r="ET7"/>
  <c r="ES7"/>
  <c r="EV7"/>
  <c r="EW7" s="1"/>
  <c r="EX7" s="1"/>
  <c r="EN7"/>
  <c r="ER7"/>
  <c r="BJ99"/>
  <c r="BJ98"/>
  <c r="BJ100"/>
  <c r="BJ101"/>
  <c r="BJ47"/>
  <c r="BJ10"/>
  <c r="BJ56"/>
  <c r="BJ55"/>
  <c r="BJ201"/>
  <c r="BJ200"/>
  <c r="BJ53"/>
  <c r="BJ52"/>
  <c r="BJ5"/>
  <c r="BJ4"/>
  <c r="BJ155"/>
  <c r="BJ51"/>
  <c r="BJ84"/>
  <c r="BJ83"/>
  <c r="BJ81"/>
  <c r="BJ80"/>
  <c r="BJ202"/>
  <c r="BJ50"/>
  <c r="BJ114"/>
  <c r="BJ70"/>
  <c r="BJ69"/>
  <c r="BJ68"/>
  <c r="BJ133"/>
  <c r="BJ148"/>
  <c r="BJ147"/>
  <c r="BJ178"/>
  <c r="BJ30"/>
  <c r="BJ29"/>
  <c r="BJ28"/>
  <c r="BJ27"/>
  <c r="BJ103"/>
  <c r="BJ102"/>
  <c r="BJ16"/>
  <c r="BJ15"/>
  <c r="BJ199"/>
  <c r="BJ119"/>
  <c r="BJ118"/>
  <c r="BJ130"/>
  <c r="BJ129"/>
  <c r="BJ117"/>
  <c r="BJ18"/>
  <c r="BJ17"/>
  <c r="BJ6"/>
  <c r="BJ23"/>
  <c r="BJ22"/>
  <c r="BJ79"/>
  <c r="BJ78"/>
  <c r="BK49"/>
  <c r="BJ49" s="1"/>
  <c r="BJ3"/>
  <c r="BJ134"/>
  <c r="BJ140"/>
  <c r="BJ139"/>
  <c r="BJ135"/>
  <c r="BJ9"/>
  <c r="BJ218"/>
  <c r="BJ177"/>
  <c r="BJ176"/>
  <c r="BJ146"/>
  <c r="BJ145"/>
  <c r="BJ144"/>
  <c r="BJ143"/>
  <c r="BJ142"/>
  <c r="BJ141"/>
  <c r="BJ125"/>
  <c r="BJ124"/>
  <c r="BJ123"/>
  <c r="BJ122"/>
  <c r="BJ121"/>
  <c r="BJ120"/>
  <c r="BJ57"/>
  <c r="BJ216"/>
  <c r="BJ215"/>
  <c r="BJ214"/>
  <c r="BJ212"/>
  <c r="BJ211"/>
  <c r="BJ210"/>
  <c r="BJ95"/>
  <c r="BJ94"/>
  <c r="BJ93"/>
  <c r="BK209"/>
  <c r="BJ209" s="1"/>
  <c r="BK208"/>
  <c r="BJ208"/>
  <c r="BK206"/>
  <c r="BJ206" s="1"/>
  <c r="BK205"/>
  <c r="BJ205"/>
  <c r="BJ154"/>
  <c r="BJ153"/>
  <c r="BJ152"/>
  <c r="BJ151"/>
  <c r="BJ150"/>
  <c r="BJ149"/>
  <c r="BJ111"/>
  <c r="BJ110"/>
  <c r="BJ109"/>
  <c r="BJ108"/>
  <c r="BJ107"/>
  <c r="BJ106"/>
  <c r="BJ105"/>
  <c r="BJ104"/>
  <c r="BJ54"/>
  <c r="BJ32"/>
  <c r="BJ31"/>
  <c r="BJ20"/>
  <c r="BJ19"/>
  <c r="BJ221"/>
  <c r="BJ220"/>
  <c r="BJ26"/>
  <c r="BJ25"/>
  <c r="BJ179"/>
  <c r="BJ97"/>
  <c r="BJ96"/>
  <c r="BJ89"/>
  <c r="BJ88"/>
  <c r="BJ175"/>
  <c r="BJ174"/>
  <c r="BJ173"/>
  <c r="BJ172"/>
  <c r="BJ171"/>
  <c r="BJ170"/>
  <c r="BJ169"/>
  <c r="BJ168"/>
  <c r="BJ167"/>
  <c r="BJ166"/>
  <c r="BJ165"/>
  <c r="BJ164"/>
  <c r="BJ163"/>
  <c r="BJ162"/>
  <c r="BJ161"/>
  <c r="BJ160"/>
  <c r="BJ159"/>
  <c r="BJ158"/>
  <c r="BJ157"/>
  <c r="BJ156"/>
  <c r="BJ64"/>
  <c r="BJ63"/>
  <c r="BJ62"/>
  <c r="BJ61"/>
  <c r="BJ60"/>
  <c r="BJ59"/>
  <c r="BJ183"/>
  <c r="BJ182"/>
  <c r="BJ181"/>
  <c r="BJ180"/>
  <c r="BJ14"/>
  <c r="BJ13"/>
  <c r="BJ77"/>
  <c r="BJ76"/>
  <c r="BJ75"/>
  <c r="BJ74"/>
  <c r="BJ196"/>
  <c r="BJ195"/>
  <c r="BJ194"/>
  <c r="BJ193"/>
  <c r="BJ192"/>
  <c r="BJ191"/>
  <c r="BJ190"/>
  <c r="BJ189"/>
  <c r="BJ188"/>
  <c r="BJ187"/>
  <c r="BJ186"/>
  <c r="BJ185"/>
  <c r="BJ207"/>
  <c r="BJ48"/>
  <c r="BJ116"/>
  <c r="BJ115"/>
  <c r="BJ12"/>
  <c r="BJ8"/>
  <c r="BJ7"/>
  <c r="AW103"/>
  <c r="BL49"/>
  <c r="AU209"/>
  <c r="AU208"/>
  <c r="BV141"/>
  <c r="CD76"/>
  <c r="BV76"/>
  <c r="BV74"/>
  <c r="EW80" l="1"/>
  <c r="EX80" s="1"/>
  <c r="FA80" s="1"/>
  <c r="EV15"/>
  <c r="EW15" s="1"/>
  <c r="EX15" s="1"/>
  <c r="FA15" s="1"/>
  <c r="EW145"/>
  <c r="EX145" s="1"/>
  <c r="EV68"/>
  <c r="EW68" s="1"/>
  <c r="EX68" s="1"/>
  <c r="FA68" s="1"/>
  <c r="EV27"/>
  <c r="EW27" s="1"/>
  <c r="EX27" s="1"/>
  <c r="FA27" s="1"/>
  <c r="EV137"/>
  <c r="EW137" s="1"/>
  <c r="EV103"/>
  <c r="EW103" s="1"/>
  <c r="EX103" s="1"/>
  <c r="FA103" s="1"/>
  <c r="FA118"/>
  <c r="EX135"/>
  <c r="EV9"/>
  <c r="EW9" s="1"/>
  <c r="EX9" s="1"/>
  <c r="EZ7"/>
  <c r="FA117"/>
  <c r="EV146"/>
  <c r="EW146" s="1"/>
  <c r="EX146" s="1"/>
  <c r="FA146" s="1"/>
  <c r="EV152"/>
  <c r="EZ52"/>
  <c r="EV115"/>
  <c r="EW115" s="1"/>
  <c r="EY68"/>
  <c r="EV17"/>
  <c r="EW17" s="1"/>
  <c r="EX17" s="1"/>
  <c r="EV49"/>
  <c r="EW49" s="1"/>
  <c r="EV122"/>
  <c r="EW122" s="1"/>
  <c r="EV154"/>
  <c r="EW111"/>
  <c r="EX111" s="1"/>
  <c r="FA111" s="1"/>
  <c r="EY109"/>
  <c r="EV109"/>
  <c r="EV20"/>
  <c r="EV25"/>
  <c r="EY25"/>
  <c r="EY96"/>
  <c r="EV96"/>
  <c r="EV173"/>
  <c r="EW173" s="1"/>
  <c r="EW152"/>
  <c r="EX152" s="1"/>
  <c r="EY42"/>
  <c r="FB135"/>
  <c r="FB169"/>
  <c r="FB195"/>
  <c r="EV184"/>
  <c r="EV201"/>
  <c r="EV84"/>
  <c r="EW84" s="1"/>
  <c r="EV50"/>
  <c r="EV147"/>
  <c r="EW147" s="1"/>
  <c r="EX147" s="1"/>
  <c r="FA147" s="1"/>
  <c r="EY30"/>
  <c r="EY27"/>
  <c r="EY136"/>
  <c r="EY15"/>
  <c r="EV119"/>
  <c r="EW119" s="1"/>
  <c r="EY118"/>
  <c r="EY117"/>
  <c r="EV6"/>
  <c r="EW6" s="1"/>
  <c r="EX6" s="1"/>
  <c r="FA6" s="1"/>
  <c r="EY22"/>
  <c r="EY3"/>
  <c r="EY146"/>
  <c r="EY145"/>
  <c r="EZ145" s="1"/>
  <c r="EY122"/>
  <c r="EZ122" s="1"/>
  <c r="EY215"/>
  <c r="EY212"/>
  <c r="EY210"/>
  <c r="EY94"/>
  <c r="EY11"/>
  <c r="EY209"/>
  <c r="EY152"/>
  <c r="EZ152" s="1"/>
  <c r="EV175"/>
  <c r="EY175"/>
  <c r="EV195"/>
  <c r="EY141"/>
  <c r="EV141"/>
  <c r="EW141" s="1"/>
  <c r="EY38"/>
  <c r="EV86"/>
  <c r="EW206"/>
  <c r="EY128"/>
  <c r="EZ128" s="1"/>
  <c r="EV128"/>
  <c r="FB7"/>
  <c r="FB210"/>
  <c r="EV65"/>
  <c r="EV113"/>
  <c r="FB113"/>
  <c r="EZ126"/>
  <c r="EW82"/>
  <c r="EX82" s="1"/>
  <c r="FA82" s="1"/>
  <c r="EW207"/>
  <c r="EX207" s="1"/>
  <c r="FA207" s="1"/>
  <c r="EY44"/>
  <c r="EZ87"/>
  <c r="FB45"/>
  <c r="FB62"/>
  <c r="EV21"/>
  <c r="EI73"/>
  <c r="ES73" s="1"/>
  <c r="EV202"/>
  <c r="EW50"/>
  <c r="EX50" s="1"/>
  <c r="FA50" s="1"/>
  <c r="EV30"/>
  <c r="EW30" s="1"/>
  <c r="EX30" s="1"/>
  <c r="EY28"/>
  <c r="EY16"/>
  <c r="EY119"/>
  <c r="EY129"/>
  <c r="EZ129" s="1"/>
  <c r="EY17"/>
  <c r="EV22"/>
  <c r="EW22" s="1"/>
  <c r="EX22" s="1"/>
  <c r="EY49"/>
  <c r="EV3"/>
  <c r="EW3" s="1"/>
  <c r="EX3" s="1"/>
  <c r="FA3" s="1"/>
  <c r="EY135"/>
  <c r="EZ135" s="1"/>
  <c r="EY9"/>
  <c r="FA9" s="1"/>
  <c r="EV218"/>
  <c r="EW218" s="1"/>
  <c r="EX218" s="1"/>
  <c r="EY177"/>
  <c r="FA177" s="1"/>
  <c r="EY144"/>
  <c r="EV212"/>
  <c r="EW212" s="1"/>
  <c r="EV94"/>
  <c r="EV209"/>
  <c r="EW209" s="1"/>
  <c r="EV205"/>
  <c r="EV110"/>
  <c r="EY19"/>
  <c r="EY100"/>
  <c r="EV100"/>
  <c r="EV66"/>
  <c r="EW66" s="1"/>
  <c r="EW112"/>
  <c r="EX112" s="1"/>
  <c r="FA112" s="1"/>
  <c r="EW213"/>
  <c r="EZ213" s="1"/>
  <c r="EW217"/>
  <c r="EZ217" s="1"/>
  <c r="EV190"/>
  <c r="EV185"/>
  <c r="EW185" s="1"/>
  <c r="EV206"/>
  <c r="FB218"/>
  <c r="FB216"/>
  <c r="FB152"/>
  <c r="FB101"/>
  <c r="FB174"/>
  <c r="FB167"/>
  <c r="FB164"/>
  <c r="FB159"/>
  <c r="FB60"/>
  <c r="FB180"/>
  <c r="FB48"/>
  <c r="EV112"/>
  <c r="EV82"/>
  <c r="EY204"/>
  <c r="FB132"/>
  <c r="FB91"/>
  <c r="EY99"/>
  <c r="EV192"/>
  <c r="EW192" s="1"/>
  <c r="EV186"/>
  <c r="EY87"/>
  <c r="EY138"/>
  <c r="FA138" s="1"/>
  <c r="FB141"/>
  <c r="FB57"/>
  <c r="FB19"/>
  <c r="EW184"/>
  <c r="EZ184" s="1"/>
  <c r="EW65"/>
  <c r="EZ65" s="1"/>
  <c r="EW67"/>
  <c r="EW21"/>
  <c r="EV85"/>
  <c r="EW85" s="1"/>
  <c r="EV204"/>
  <c r="EW204" s="1"/>
  <c r="EV131"/>
  <c r="EW131" s="1"/>
  <c r="EX131" s="1"/>
  <c r="EA132"/>
  <c r="EO132" s="1"/>
  <c r="EV132" s="1"/>
  <c r="EW132" s="1"/>
  <c r="EI131"/>
  <c r="ES131" s="1"/>
  <c r="EV148"/>
  <c r="EW148" s="1"/>
  <c r="EZ148" s="1"/>
  <c r="EV193"/>
  <c r="EW193" s="1"/>
  <c r="EX193" s="1"/>
  <c r="FA193" s="1"/>
  <c r="EV188"/>
  <c r="EY197"/>
  <c r="EV44"/>
  <c r="EV38"/>
  <c r="EW38" s="1"/>
  <c r="EZ38" s="1"/>
  <c r="EV43"/>
  <c r="FB142"/>
  <c r="FB212"/>
  <c r="FB209"/>
  <c r="FB153"/>
  <c r="FB108"/>
  <c r="FB20"/>
  <c r="FB98"/>
  <c r="FB175"/>
  <c r="FB64"/>
  <c r="FB74"/>
  <c r="FB116"/>
  <c r="EW127"/>
  <c r="EV72"/>
  <c r="EW72" s="1"/>
  <c r="FB204"/>
  <c r="EV92"/>
  <c r="EW92" s="1"/>
  <c r="EZ92" s="1"/>
  <c r="EY91"/>
  <c r="EX122"/>
  <c r="FB86"/>
  <c r="FB41"/>
  <c r="FB33"/>
  <c r="FB28"/>
  <c r="EX28"/>
  <c r="FA28" s="1"/>
  <c r="FB137"/>
  <c r="EX137"/>
  <c r="FA137" s="1"/>
  <c r="FB18"/>
  <c r="EX18"/>
  <c r="FA18" s="1"/>
  <c r="FB24"/>
  <c r="EV55"/>
  <c r="EW55" s="1"/>
  <c r="EX55" s="1"/>
  <c r="FA55" s="1"/>
  <c r="EY36"/>
  <c r="EV36"/>
  <c r="EV56"/>
  <c r="FA52"/>
  <c r="EX148"/>
  <c r="FA148" s="1"/>
  <c r="EZ178"/>
  <c r="EZ29"/>
  <c r="EY125"/>
  <c r="EV125"/>
  <c r="EW123"/>
  <c r="EY121"/>
  <c r="EV121"/>
  <c r="EW121" s="1"/>
  <c r="EX121" s="1"/>
  <c r="EY47"/>
  <c r="EV47"/>
  <c r="EW47" s="1"/>
  <c r="EX47" s="1"/>
  <c r="EZ50"/>
  <c r="EW138"/>
  <c r="EZ138" s="1"/>
  <c r="FB36"/>
  <c r="FB55"/>
  <c r="FB53"/>
  <c r="FB51"/>
  <c r="FB81"/>
  <c r="FB69"/>
  <c r="FB16"/>
  <c r="EX16"/>
  <c r="FA16" s="1"/>
  <c r="FB119"/>
  <c r="FB49"/>
  <c r="EX49"/>
  <c r="FA49" s="1"/>
  <c r="EW94"/>
  <c r="FA7"/>
  <c r="EZ12"/>
  <c r="EY201"/>
  <c r="EV200"/>
  <c r="EW202"/>
  <c r="EW79"/>
  <c r="EX79" s="1"/>
  <c r="EW125"/>
  <c r="EX125" s="1"/>
  <c r="EV151"/>
  <c r="EZ117"/>
  <c r="EZ49"/>
  <c r="EZ134"/>
  <c r="EY140"/>
  <c r="EV140"/>
  <c r="EW140" s="1"/>
  <c r="EX140" s="1"/>
  <c r="EY139"/>
  <c r="EV139"/>
  <c r="EW139" s="1"/>
  <c r="EX139" s="1"/>
  <c r="EZ9"/>
  <c r="EZ218"/>
  <c r="EZ176"/>
  <c r="EV216"/>
  <c r="EW216" s="1"/>
  <c r="EX216" s="1"/>
  <c r="FA216" s="1"/>
  <c r="EV211"/>
  <c r="EW211" s="1"/>
  <c r="EX211" s="1"/>
  <c r="FA211" s="1"/>
  <c r="EV93"/>
  <c r="EW93" s="1"/>
  <c r="EX93" s="1"/>
  <c r="FA93" s="1"/>
  <c r="EV208"/>
  <c r="EW208" s="1"/>
  <c r="EX208" s="1"/>
  <c r="FA208" s="1"/>
  <c r="EW205"/>
  <c r="FA152"/>
  <c r="EW151"/>
  <c r="EW110"/>
  <c r="EV108"/>
  <c r="EW108" s="1"/>
  <c r="EX108" s="1"/>
  <c r="FA108" s="1"/>
  <c r="EV106"/>
  <c r="EW106" s="1"/>
  <c r="EX106" s="1"/>
  <c r="EY106"/>
  <c r="EV104"/>
  <c r="EW104" s="1"/>
  <c r="EX104" s="1"/>
  <c r="EY104"/>
  <c r="EV101"/>
  <c r="EW101" s="1"/>
  <c r="EV99"/>
  <c r="EW99" s="1"/>
  <c r="EX99" s="1"/>
  <c r="FA99" s="1"/>
  <c r="EV97"/>
  <c r="EW97" s="1"/>
  <c r="EV171"/>
  <c r="EV167"/>
  <c r="EW167" s="1"/>
  <c r="EX167" s="1"/>
  <c r="FA167" s="1"/>
  <c r="EV163"/>
  <c r="EW163" s="1"/>
  <c r="EX163" s="1"/>
  <c r="FA163" s="1"/>
  <c r="EV159"/>
  <c r="EW159" s="1"/>
  <c r="EX159" s="1"/>
  <c r="FA159" s="1"/>
  <c r="EY41"/>
  <c r="EV41"/>
  <c r="EW41" s="1"/>
  <c r="EX41" s="1"/>
  <c r="EW128"/>
  <c r="EX128" s="1"/>
  <c r="FA128" s="1"/>
  <c r="EY130"/>
  <c r="EV130"/>
  <c r="EW130" s="1"/>
  <c r="EX130" s="1"/>
  <c r="EZ17"/>
  <c r="EZ23"/>
  <c r="EV8"/>
  <c r="EW201"/>
  <c r="EX201" s="1"/>
  <c r="EW200"/>
  <c r="EX200" s="1"/>
  <c r="FA200" s="1"/>
  <c r="EW83"/>
  <c r="EZ83" s="1"/>
  <c r="EW70"/>
  <c r="EZ70" s="1"/>
  <c r="FA218"/>
  <c r="FA176"/>
  <c r="FA145"/>
  <c r="EV144"/>
  <c r="EW144" s="1"/>
  <c r="EV142"/>
  <c r="EV124"/>
  <c r="EW124" s="1"/>
  <c r="EV120"/>
  <c r="EW120" s="1"/>
  <c r="EV215"/>
  <c r="EW215" s="1"/>
  <c r="EV210"/>
  <c r="EW210" s="1"/>
  <c r="EV11"/>
  <c r="EW11" s="1"/>
  <c r="EW154"/>
  <c r="EW150"/>
  <c r="EW109"/>
  <c r="EW171"/>
  <c r="EV168"/>
  <c r="EV164"/>
  <c r="EV160"/>
  <c r="EV136"/>
  <c r="EW136" s="1"/>
  <c r="EX136" s="1"/>
  <c r="FA136" s="1"/>
  <c r="EZ102"/>
  <c r="EZ15"/>
  <c r="EY199"/>
  <c r="EV199"/>
  <c r="EW199" s="1"/>
  <c r="EX199" s="1"/>
  <c r="EW8"/>
  <c r="EX8" s="1"/>
  <c r="FA8" s="1"/>
  <c r="EW56"/>
  <c r="EX56" s="1"/>
  <c r="FA56" s="1"/>
  <c r="EW53"/>
  <c r="EX53" s="1"/>
  <c r="FA53" s="1"/>
  <c r="EV5"/>
  <c r="EW5" s="1"/>
  <c r="EV4"/>
  <c r="EW4" s="1"/>
  <c r="EV155"/>
  <c r="EW155" s="1"/>
  <c r="EV51"/>
  <c r="EW51" s="1"/>
  <c r="EW81"/>
  <c r="EX81" s="1"/>
  <c r="FA81" s="1"/>
  <c r="EW69"/>
  <c r="EX69" s="1"/>
  <c r="FA69" s="1"/>
  <c r="EV133"/>
  <c r="EW133" s="1"/>
  <c r="EZ147"/>
  <c r="EZ30"/>
  <c r="EZ28"/>
  <c r="EZ137"/>
  <c r="EZ103"/>
  <c r="EZ16"/>
  <c r="EZ118"/>
  <c r="EZ18"/>
  <c r="EZ6"/>
  <c r="EZ22"/>
  <c r="EY79"/>
  <c r="EV79"/>
  <c r="EY78"/>
  <c r="EV78"/>
  <c r="EW78" s="1"/>
  <c r="EX78" s="1"/>
  <c r="EZ177"/>
  <c r="EV143"/>
  <c r="EW143" s="1"/>
  <c r="EW142"/>
  <c r="EV123"/>
  <c r="EV57"/>
  <c r="EW57" s="1"/>
  <c r="EV214"/>
  <c r="EW214" s="1"/>
  <c r="EV95"/>
  <c r="EW95" s="1"/>
  <c r="EV10"/>
  <c r="EW10" s="1"/>
  <c r="EW153"/>
  <c r="EX153" s="1"/>
  <c r="FA153" s="1"/>
  <c r="EW149"/>
  <c r="EX149" s="1"/>
  <c r="FA149" s="1"/>
  <c r="EV107"/>
  <c r="EW107" s="1"/>
  <c r="EX107" s="1"/>
  <c r="EY107"/>
  <c r="EV105"/>
  <c r="EW105" s="1"/>
  <c r="EX105" s="1"/>
  <c r="EY105"/>
  <c r="EV54"/>
  <c r="EW54" s="1"/>
  <c r="EX54" s="1"/>
  <c r="EY54"/>
  <c r="EV31"/>
  <c r="EW31" s="1"/>
  <c r="EV19"/>
  <c r="EW19" s="1"/>
  <c r="EV220"/>
  <c r="EW220" s="1"/>
  <c r="EV26"/>
  <c r="EW26" s="1"/>
  <c r="EV179"/>
  <c r="EW179" s="1"/>
  <c r="EV88"/>
  <c r="EW88" s="1"/>
  <c r="EV174"/>
  <c r="EW174" s="1"/>
  <c r="EV172"/>
  <c r="EW172" s="1"/>
  <c r="EV169"/>
  <c r="FA166"/>
  <c r="EV165"/>
  <c r="EZ162"/>
  <c r="EV161"/>
  <c r="EW161" s="1"/>
  <c r="EX161" s="1"/>
  <c r="FA161" s="1"/>
  <c r="EV157"/>
  <c r="EW157" s="1"/>
  <c r="EX157" s="1"/>
  <c r="FA157" s="1"/>
  <c r="EV63"/>
  <c r="EW63" s="1"/>
  <c r="EV62"/>
  <c r="EW62" s="1"/>
  <c r="EX62" s="1"/>
  <c r="FA62" s="1"/>
  <c r="EV61"/>
  <c r="EW61" s="1"/>
  <c r="EX61" s="1"/>
  <c r="FA61" s="1"/>
  <c r="EV183"/>
  <c r="EW183" s="1"/>
  <c r="EX183" s="1"/>
  <c r="FA183" s="1"/>
  <c r="EV181"/>
  <c r="EV14"/>
  <c r="EW14" s="1"/>
  <c r="EX14" s="1"/>
  <c r="FA14" s="1"/>
  <c r="EV76"/>
  <c r="EW76" s="1"/>
  <c r="EV75"/>
  <c r="EW75" s="1"/>
  <c r="EX75" s="1"/>
  <c r="FA75" s="1"/>
  <c r="EV196"/>
  <c r="EY35"/>
  <c r="EV35"/>
  <c r="EW35" s="1"/>
  <c r="EX35" s="1"/>
  <c r="EY40"/>
  <c r="EV40"/>
  <c r="EX213"/>
  <c r="FA213" s="1"/>
  <c r="EX217"/>
  <c r="FA217" s="1"/>
  <c r="EX126"/>
  <c r="FA126" s="1"/>
  <c r="EZ207"/>
  <c r="EW25"/>
  <c r="EW89"/>
  <c r="EW175"/>
  <c r="EW170"/>
  <c r="EX170" s="1"/>
  <c r="FA170" s="1"/>
  <c r="EW169"/>
  <c r="EX169" s="1"/>
  <c r="FA169" s="1"/>
  <c r="EW168"/>
  <c r="EX168" s="1"/>
  <c r="FA168" s="1"/>
  <c r="EW166"/>
  <c r="EX166" s="1"/>
  <c r="EW165"/>
  <c r="EX165" s="1"/>
  <c r="FA165" s="1"/>
  <c r="EW164"/>
  <c r="EX164" s="1"/>
  <c r="FA164" s="1"/>
  <c r="EW162"/>
  <c r="EX162" s="1"/>
  <c r="FA162" s="1"/>
  <c r="EW160"/>
  <c r="EX160" s="1"/>
  <c r="FA160" s="1"/>
  <c r="EW158"/>
  <c r="EX158" s="1"/>
  <c r="FA158" s="1"/>
  <c r="EW64"/>
  <c r="EX64" s="1"/>
  <c r="FA64" s="1"/>
  <c r="EW181"/>
  <c r="EX181" s="1"/>
  <c r="FA181" s="1"/>
  <c r="EW196"/>
  <c r="EX196" s="1"/>
  <c r="FA196" s="1"/>
  <c r="EW194"/>
  <c r="EX194" s="1"/>
  <c r="FA194" s="1"/>
  <c r="EW190"/>
  <c r="EX190" s="1"/>
  <c r="FA190" s="1"/>
  <c r="EW189"/>
  <c r="EX189" s="1"/>
  <c r="FA189" s="1"/>
  <c r="EW186"/>
  <c r="EX186" s="1"/>
  <c r="FA186" s="1"/>
  <c r="EW197"/>
  <c r="EX197" s="1"/>
  <c r="FA197" s="1"/>
  <c r="EV219"/>
  <c r="EW219" s="1"/>
  <c r="EX219" s="1"/>
  <c r="FA219" s="1"/>
  <c r="EY46"/>
  <c r="EV46"/>
  <c r="EV156"/>
  <c r="EW156" s="1"/>
  <c r="EV64"/>
  <c r="EV60"/>
  <c r="EW60" s="1"/>
  <c r="EV59"/>
  <c r="EW59" s="1"/>
  <c r="EV182"/>
  <c r="EW182" s="1"/>
  <c r="EV180"/>
  <c r="EW180" s="1"/>
  <c r="EV13"/>
  <c r="EW13" s="1"/>
  <c r="EV77"/>
  <c r="EW77" s="1"/>
  <c r="EV74"/>
  <c r="EW74" s="1"/>
  <c r="EW36"/>
  <c r="EX36" s="1"/>
  <c r="EX138"/>
  <c r="EV203"/>
  <c r="EW203" s="1"/>
  <c r="EW32"/>
  <c r="EX32" s="1"/>
  <c r="FA32" s="1"/>
  <c r="EW20"/>
  <c r="EX20" s="1"/>
  <c r="FA20" s="1"/>
  <c r="EW221"/>
  <c r="EX221" s="1"/>
  <c r="FA221" s="1"/>
  <c r="EW100"/>
  <c r="EX100" s="1"/>
  <c r="EW98"/>
  <c r="EX98" s="1"/>
  <c r="FA98" s="1"/>
  <c r="EW96"/>
  <c r="EX96" s="1"/>
  <c r="FA96" s="1"/>
  <c r="EY45"/>
  <c r="EV45"/>
  <c r="EW45" s="1"/>
  <c r="EX45" s="1"/>
  <c r="EW46"/>
  <c r="EX46" s="1"/>
  <c r="EY39"/>
  <c r="EV39"/>
  <c r="EW39" s="1"/>
  <c r="EX39" s="1"/>
  <c r="EW40"/>
  <c r="EX40" s="1"/>
  <c r="EY24"/>
  <c r="EV24"/>
  <c r="EW24" s="1"/>
  <c r="EX24" s="1"/>
  <c r="EW188"/>
  <c r="EX188" s="1"/>
  <c r="EW48"/>
  <c r="EX48" s="1"/>
  <c r="EV33"/>
  <c r="EW33" s="1"/>
  <c r="EZ33" s="1"/>
  <c r="FB87"/>
  <c r="EX87"/>
  <c r="FA87" s="1"/>
  <c r="FB37"/>
  <c r="FB56"/>
  <c r="FB155"/>
  <c r="FB70"/>
  <c r="FB29"/>
  <c r="FB102"/>
  <c r="FB117"/>
  <c r="FB78"/>
  <c r="EW195"/>
  <c r="EX195" s="1"/>
  <c r="FA195" s="1"/>
  <c r="EW191"/>
  <c r="EX191" s="1"/>
  <c r="FA191" s="1"/>
  <c r="FA188"/>
  <c r="EW187"/>
  <c r="EX187" s="1"/>
  <c r="FA187" s="1"/>
  <c r="FA48"/>
  <c r="EW116"/>
  <c r="EX116" s="1"/>
  <c r="FA116" s="1"/>
  <c r="EY198"/>
  <c r="EV198"/>
  <c r="EW198" s="1"/>
  <c r="EX198" s="1"/>
  <c r="EW44"/>
  <c r="EX44" s="1"/>
  <c r="FA44" s="1"/>
  <c r="EW34"/>
  <c r="EZ34" s="1"/>
  <c r="EV37"/>
  <c r="EW37" s="1"/>
  <c r="EX37" s="1"/>
  <c r="FA37" s="1"/>
  <c r="EV42"/>
  <c r="EW42" s="1"/>
  <c r="EX42" s="1"/>
  <c r="FA42" s="1"/>
  <c r="EW43"/>
  <c r="EX43" s="1"/>
  <c r="FA43" s="1"/>
  <c r="EW86"/>
  <c r="EX86" s="1"/>
  <c r="FA86" s="1"/>
  <c r="EX67"/>
  <c r="FA67" s="1"/>
  <c r="EZ67"/>
  <c r="EX21"/>
  <c r="FA21" s="1"/>
  <c r="EZ21"/>
  <c r="EX184"/>
  <c r="FA184" s="1"/>
  <c r="EX65"/>
  <c r="FA65" s="1"/>
  <c r="EW113"/>
  <c r="EX127"/>
  <c r="FA127" s="1"/>
  <c r="EZ127"/>
  <c r="EW71"/>
  <c r="EZ71" s="1"/>
  <c r="EV73"/>
  <c r="EW73" s="1"/>
  <c r="EX73" s="1"/>
  <c r="FA73" s="1"/>
  <c r="FB92"/>
  <c r="EY131"/>
  <c r="EV91"/>
  <c r="EW91" s="1"/>
  <c r="EV90"/>
  <c r="EW90" s="1"/>
  <c r="EX85" l="1"/>
  <c r="FA85" s="1"/>
  <c r="EZ85"/>
  <c r="EZ132"/>
  <c r="EX132"/>
  <c r="FA132" s="1"/>
  <c r="EX84"/>
  <c r="FA84" s="1"/>
  <c r="EZ84"/>
  <c r="EZ72"/>
  <c r="EX72"/>
  <c r="FA72" s="1"/>
  <c r="EX115"/>
  <c r="FA115" s="1"/>
  <c r="EZ115"/>
  <c r="EX185"/>
  <c r="FA185" s="1"/>
  <c r="EZ185"/>
  <c r="EZ204"/>
  <c r="EX204"/>
  <c r="FA204" s="1"/>
  <c r="EX192"/>
  <c r="FA192" s="1"/>
  <c r="EZ192"/>
  <c r="EX66"/>
  <c r="FA66" s="1"/>
  <c r="EZ66"/>
  <c r="EX212"/>
  <c r="FA212" s="1"/>
  <c r="EZ212"/>
  <c r="EX141"/>
  <c r="FA141" s="1"/>
  <c r="EZ141"/>
  <c r="EX119"/>
  <c r="FA119" s="1"/>
  <c r="EZ119"/>
  <c r="FA17"/>
  <c r="FA135"/>
  <c r="EZ111"/>
  <c r="EZ82"/>
  <c r="FA30"/>
  <c r="EX206"/>
  <c r="FA206" s="1"/>
  <c r="EZ206"/>
  <c r="EZ187"/>
  <c r="EZ170"/>
  <c r="EZ98"/>
  <c r="EZ112"/>
  <c r="FA122"/>
  <c r="EX92"/>
  <c r="FA92" s="1"/>
  <c r="EZ68"/>
  <c r="FA129"/>
  <c r="EZ186"/>
  <c r="EZ189"/>
  <c r="EZ158"/>
  <c r="EZ48"/>
  <c r="EZ86"/>
  <c r="EZ37"/>
  <c r="FA100"/>
  <c r="EZ3"/>
  <c r="EZ27"/>
  <c r="EZ146"/>
  <c r="EZ80"/>
  <c r="EZ208"/>
  <c r="FA22"/>
  <c r="EX203"/>
  <c r="FA203" s="1"/>
  <c r="EZ203"/>
  <c r="EX59"/>
  <c r="FA59" s="1"/>
  <c r="EZ59"/>
  <c r="EX172"/>
  <c r="FA172" s="1"/>
  <c r="EZ172"/>
  <c r="EZ133"/>
  <c r="EX133"/>
  <c r="FA133" s="1"/>
  <c r="EX90"/>
  <c r="FA90" s="1"/>
  <c r="EZ90"/>
  <c r="EX60"/>
  <c r="FA60" s="1"/>
  <c r="EZ60"/>
  <c r="EX179"/>
  <c r="FA179" s="1"/>
  <c r="EZ179"/>
  <c r="EX31"/>
  <c r="FA31" s="1"/>
  <c r="EZ31"/>
  <c r="EX26"/>
  <c r="FA26" s="1"/>
  <c r="EZ26"/>
  <c r="EX77"/>
  <c r="FA77" s="1"/>
  <c r="EZ77"/>
  <c r="EX63"/>
  <c r="FA63" s="1"/>
  <c r="EZ63"/>
  <c r="EX19"/>
  <c r="FA19" s="1"/>
  <c r="EZ19"/>
  <c r="EZ155"/>
  <c r="EX155"/>
  <c r="FA155" s="1"/>
  <c r="EX13"/>
  <c r="FA13" s="1"/>
  <c r="EZ13"/>
  <c r="EX174"/>
  <c r="FA174" s="1"/>
  <c r="EZ174"/>
  <c r="EX4"/>
  <c r="FA4" s="1"/>
  <c r="EZ4"/>
  <c r="EX91"/>
  <c r="FA91" s="1"/>
  <c r="EZ91"/>
  <c r="EX180"/>
  <c r="FA180" s="1"/>
  <c r="EZ180"/>
  <c r="EX76"/>
  <c r="FA76" s="1"/>
  <c r="EZ76"/>
  <c r="EX88"/>
  <c r="FA88" s="1"/>
  <c r="EZ88"/>
  <c r="EX57"/>
  <c r="FA57" s="1"/>
  <c r="EZ57"/>
  <c r="EX5"/>
  <c r="FA5" s="1"/>
  <c r="EZ5"/>
  <c r="EX74"/>
  <c r="FA74" s="1"/>
  <c r="EZ74"/>
  <c r="EX182"/>
  <c r="FA182" s="1"/>
  <c r="EZ182"/>
  <c r="EX156"/>
  <c r="FA156" s="1"/>
  <c r="EZ156"/>
  <c r="EZ51"/>
  <c r="EX51"/>
  <c r="FA51" s="1"/>
  <c r="EX124"/>
  <c r="FA124" s="1"/>
  <c r="EZ124"/>
  <c r="EX101"/>
  <c r="FA101" s="1"/>
  <c r="EZ101"/>
  <c r="EX113"/>
  <c r="FA113" s="1"/>
  <c r="EZ113"/>
  <c r="EX38"/>
  <c r="FA38" s="1"/>
  <c r="EZ42"/>
  <c r="FA45"/>
  <c r="EZ45"/>
  <c r="EX173"/>
  <c r="FA173" s="1"/>
  <c r="EZ173"/>
  <c r="EX89"/>
  <c r="FA89" s="1"/>
  <c r="EZ89"/>
  <c r="EZ197"/>
  <c r="EZ43"/>
  <c r="EZ190"/>
  <c r="EZ105"/>
  <c r="FA105"/>
  <c r="EX95"/>
  <c r="FA95" s="1"/>
  <c r="EZ95"/>
  <c r="EX142"/>
  <c r="FA142" s="1"/>
  <c r="EZ142"/>
  <c r="EZ79"/>
  <c r="FA79"/>
  <c r="EZ161"/>
  <c r="EX171"/>
  <c r="FA171" s="1"/>
  <c r="EZ171"/>
  <c r="EX11"/>
  <c r="FA11" s="1"/>
  <c r="EZ11"/>
  <c r="EZ160"/>
  <c r="EX151"/>
  <c r="FA151" s="1"/>
  <c r="EZ151"/>
  <c r="EZ140"/>
  <c r="FA140"/>
  <c r="EZ136"/>
  <c r="EZ81"/>
  <c r="EX209"/>
  <c r="FA209" s="1"/>
  <c r="EZ209"/>
  <c r="EZ44"/>
  <c r="EX123"/>
  <c r="FA123" s="1"/>
  <c r="EZ123"/>
  <c r="EZ200"/>
  <c r="EZ73"/>
  <c r="EZ56"/>
  <c r="EZ188"/>
  <c r="FA24"/>
  <c r="EZ24"/>
  <c r="EZ195"/>
  <c r="EX34"/>
  <c r="FA34" s="1"/>
  <c r="FA40"/>
  <c r="EZ40"/>
  <c r="EX214"/>
  <c r="FA214" s="1"/>
  <c r="EZ214"/>
  <c r="EX143"/>
  <c r="FA143" s="1"/>
  <c r="EZ143"/>
  <c r="EZ75"/>
  <c r="EZ183"/>
  <c r="EZ157"/>
  <c r="EX97"/>
  <c r="FA97" s="1"/>
  <c r="EZ97"/>
  <c r="EX150"/>
  <c r="FA150" s="1"/>
  <c r="EZ150"/>
  <c r="EX210"/>
  <c r="FA210" s="1"/>
  <c r="EZ210"/>
  <c r="EZ20"/>
  <c r="EZ104"/>
  <c r="FA104"/>
  <c r="EX220"/>
  <c r="FA220" s="1"/>
  <c r="EZ220"/>
  <c r="EZ93"/>
  <c r="EX94"/>
  <c r="FA94" s="1"/>
  <c r="EZ94"/>
  <c r="EZ53"/>
  <c r="EZ159"/>
  <c r="EZ167"/>
  <c r="EX120"/>
  <c r="FA120" s="1"/>
  <c r="EZ120"/>
  <c r="EZ69"/>
  <c r="EZ99"/>
  <c r="EZ168"/>
  <c r="EX110"/>
  <c r="FA110" s="1"/>
  <c r="EZ110"/>
  <c r="EX205"/>
  <c r="FA205" s="1"/>
  <c r="EZ205"/>
  <c r="EZ139"/>
  <c r="FA139"/>
  <c r="EZ153"/>
  <c r="EX202"/>
  <c r="FA202" s="1"/>
  <c r="EZ202"/>
  <c r="EZ211"/>
  <c r="EZ47"/>
  <c r="FA47"/>
  <c r="EZ194"/>
  <c r="FA125"/>
  <c r="EZ125"/>
  <c r="FA36"/>
  <c r="EZ36"/>
  <c r="EX33"/>
  <c r="FA33" s="1"/>
  <c r="EZ55"/>
  <c r="EZ131"/>
  <c r="FA131"/>
  <c r="EX175"/>
  <c r="FA175" s="1"/>
  <c r="EZ175"/>
  <c r="EX25"/>
  <c r="FA25" s="1"/>
  <c r="EZ25"/>
  <c r="EZ54"/>
  <c r="FA54"/>
  <c r="EZ107"/>
  <c r="FA107"/>
  <c r="EZ78"/>
  <c r="FA78"/>
  <c r="EZ169"/>
  <c r="EX215"/>
  <c r="FA215" s="1"/>
  <c r="EZ215"/>
  <c r="EX144"/>
  <c r="FA144" s="1"/>
  <c r="EZ144"/>
  <c r="EX70"/>
  <c r="FA70" s="1"/>
  <c r="FA198"/>
  <c r="EZ198"/>
  <c r="EZ193"/>
  <c r="FA39"/>
  <c r="EZ39"/>
  <c r="EZ116"/>
  <c r="EZ191"/>
  <c r="EZ219"/>
  <c r="FA46"/>
  <c r="EZ46"/>
  <c r="FA35"/>
  <c r="EZ35"/>
  <c r="EZ166"/>
  <c r="EZ96"/>
  <c r="EZ100"/>
  <c r="EX10"/>
  <c r="FA10" s="1"/>
  <c r="EZ10"/>
  <c r="EZ199"/>
  <c r="FA199"/>
  <c r="EZ14"/>
  <c r="EZ62"/>
  <c r="EZ165"/>
  <c r="EX109"/>
  <c r="FA109" s="1"/>
  <c r="EZ109"/>
  <c r="EX154"/>
  <c r="FA154" s="1"/>
  <c r="EZ154"/>
  <c r="EZ130"/>
  <c r="FA130"/>
  <c r="EX83"/>
  <c r="FA83" s="1"/>
  <c r="FA41"/>
  <c r="EZ41"/>
  <c r="EZ61"/>
  <c r="EZ164"/>
  <c r="EZ221"/>
  <c r="EZ32"/>
  <c r="EZ106"/>
  <c r="FA106"/>
  <c r="EZ108"/>
  <c r="FA201"/>
  <c r="EZ201"/>
  <c r="EZ216"/>
  <c r="EZ196"/>
  <c r="EZ181"/>
  <c r="EZ64"/>
  <c r="EZ163"/>
  <c r="FA121"/>
  <c r="EZ121"/>
  <c r="EZ8"/>
  <c r="EZ149"/>
  <c r="EX71"/>
  <c r="FA71" s="1"/>
</calcChain>
</file>

<file path=xl/comments1.xml><?xml version="1.0" encoding="utf-8"?>
<comments xmlns="http://schemas.openxmlformats.org/spreadsheetml/2006/main">
  <authors>
    <author>Jacqui Eales</author>
    <author>James Speed</author>
  </authors>
  <commentList>
    <comment ref="B2" authorId="0">
      <text>
        <r>
          <rPr>
            <b/>
            <sz val="9"/>
            <color rgb="FF000000"/>
            <rFont val="Calibri"/>
            <family val="2"/>
          </rPr>
          <t>Jacqui Eales:</t>
        </r>
        <r>
          <rPr>
            <sz val="9"/>
            <color rgb="FF000000"/>
            <rFont val="Calibri"/>
            <family val="2"/>
          </rPr>
          <t xml:space="preserve">
</t>
        </r>
        <r>
          <rPr>
            <sz val="9"/>
            <color rgb="FF000000"/>
            <rFont val="Calibri"/>
            <family val="2"/>
          </rPr>
          <t>where outcome data is presented separately for different study site, report them as separate lines and note the site name here</t>
        </r>
      </text>
    </comment>
    <comment ref="J2" authorId="0">
      <text>
        <r>
          <rPr>
            <b/>
            <sz val="9"/>
            <color indexed="81"/>
            <rFont val="Calibri"/>
            <family val="2"/>
          </rPr>
          <t>Jacqui Eales:</t>
        </r>
        <r>
          <rPr>
            <sz val="9"/>
            <color indexed="81"/>
            <rFont val="Calibri"/>
            <family val="2"/>
          </rPr>
          <t xml:space="preserve">
linked studies of the same study area</t>
        </r>
      </text>
    </comment>
    <comment ref="N2" authorId="0">
      <text>
        <r>
          <rPr>
            <b/>
            <sz val="9"/>
            <color indexed="81"/>
            <rFont val="Calibri"/>
            <family val="2"/>
          </rPr>
          <t>Jacqui Eales:</t>
        </r>
        <r>
          <rPr>
            <sz val="9"/>
            <color indexed="81"/>
            <rFont val="Calibri"/>
            <family val="2"/>
          </rPr>
          <t xml:space="preserve">
Forest according to FAO definition (5m high and 10% canopy cover)."Y" if it is described as a forest. Most will be Y. N if do not conform to FAO definition.  send studies which are border line for AT to decide on inclusion</t>
        </r>
      </text>
    </comment>
    <comment ref="U2" authorId="0">
      <text>
        <r>
          <rPr>
            <b/>
            <sz val="9"/>
            <color rgb="FF000000"/>
            <rFont val="Calibri"/>
            <family val="2"/>
          </rPr>
          <t>Jacqui Eales:</t>
        </r>
        <r>
          <rPr>
            <sz val="9"/>
            <color rgb="FF000000"/>
            <rFont val="Calibri"/>
            <family val="2"/>
          </rPr>
          <t xml:space="preserve">
</t>
        </r>
        <r>
          <rPr>
            <sz val="9"/>
            <color rgb="FF000000"/>
            <rFont val="Calibri"/>
            <family val="2"/>
          </rPr>
          <t>Eastings should be changed to westing (Formula: Westing= 360- Easting)</t>
        </r>
      </text>
    </comment>
    <comment ref="V2" authorId="0">
      <text>
        <r>
          <rPr>
            <b/>
            <sz val="9"/>
            <color indexed="81"/>
            <rFont val="Calibri"/>
            <family val="2"/>
          </rPr>
          <t>Jacqui Eales:</t>
        </r>
        <r>
          <rPr>
            <sz val="9"/>
            <color indexed="81"/>
            <rFont val="Calibri"/>
            <family val="2"/>
          </rPr>
          <t xml:space="preserve">
(mean for multiple sites, median of range)</t>
        </r>
      </text>
    </comment>
    <comment ref="X2" authorId="0">
      <text>
        <r>
          <rPr>
            <b/>
            <sz val="9"/>
            <color indexed="81"/>
            <rFont val="Calibri"/>
            <family val="2"/>
          </rPr>
          <t>Jacqui Eales:</t>
        </r>
        <r>
          <rPr>
            <sz val="9"/>
            <color indexed="81"/>
            <rFont val="Calibri"/>
            <family val="2"/>
          </rPr>
          <t xml:space="preserve">
in metres</t>
        </r>
      </text>
    </comment>
    <comment ref="Y2" authorId="0">
      <text>
        <r>
          <rPr>
            <b/>
            <sz val="9"/>
            <color indexed="81"/>
            <rFont val="Calibri"/>
            <family val="2"/>
          </rPr>
          <t>Jacqui Eales:</t>
        </r>
        <r>
          <rPr>
            <sz val="9"/>
            <color indexed="81"/>
            <rFont val="Calibri"/>
            <family val="2"/>
          </rPr>
          <t xml:space="preserve">
To be added later, using latitude and longitude</t>
        </r>
      </text>
    </comment>
    <comment ref="AB2" authorId="0">
      <text>
        <r>
          <rPr>
            <b/>
            <sz val="9"/>
            <color indexed="81"/>
            <rFont val="Calibri"/>
            <family val="2"/>
          </rPr>
          <t>Jacqui Eales:</t>
        </r>
        <r>
          <rPr>
            <sz val="9"/>
            <color indexed="81"/>
            <rFont val="Calibri"/>
            <family val="2"/>
          </rPr>
          <t xml:space="preserve">
This is prior to the study taking place (i.e. any treatments)</t>
        </r>
      </text>
    </comment>
    <comment ref="AD2" authorId="0">
      <text>
        <r>
          <rPr>
            <b/>
            <sz val="9"/>
            <color indexed="81"/>
            <rFont val="Calibri"/>
            <family val="2"/>
          </rPr>
          <t>Jacqui Eales:</t>
        </r>
        <r>
          <rPr>
            <sz val="9"/>
            <color indexed="81"/>
            <rFont val="Calibri"/>
            <family val="2"/>
          </rPr>
          <t xml:space="preserve">
Any other possible effect modifier eg. Designated protected area, affected by invasive species or disease</t>
        </r>
      </text>
    </comment>
    <comment ref="AF2" authorId="0">
      <text>
        <r>
          <rPr>
            <b/>
            <sz val="9"/>
            <color indexed="81"/>
            <rFont val="Calibri"/>
            <family val="2"/>
          </rPr>
          <t>Jacqui Eales:</t>
        </r>
        <r>
          <rPr>
            <sz val="9"/>
            <color indexed="81"/>
            <rFont val="Calibri"/>
            <family val="2"/>
          </rPr>
          <t xml:space="preserve">
 (only consider treatment and control relevant to this SR)</t>
        </r>
      </text>
    </comment>
    <comment ref="AG2" authorId="0">
      <text>
        <r>
          <rPr>
            <b/>
            <sz val="9"/>
            <color indexed="81"/>
            <rFont val="Calibri"/>
            <family val="2"/>
          </rPr>
          <t>Jacqui Eales:</t>
        </r>
        <r>
          <rPr>
            <sz val="9"/>
            <color indexed="81"/>
            <rFont val="Calibri"/>
            <family val="2"/>
          </rPr>
          <t xml:space="preserve">
Matching of burn and non-burn sites</t>
        </r>
      </text>
    </comment>
    <comment ref="AH2" authorId="0">
      <text>
        <r>
          <rPr>
            <b/>
            <sz val="9"/>
            <color indexed="81"/>
            <rFont val="Calibri"/>
            <family val="2"/>
          </rPr>
          <t>Jacqui Eales:</t>
        </r>
        <r>
          <rPr>
            <sz val="9"/>
            <color indexed="81"/>
            <rFont val="Calibri"/>
            <family val="2"/>
          </rPr>
          <t xml:space="preserve">
(within treatment units)</t>
        </r>
      </text>
    </comment>
    <comment ref="AJ2" authorId="0">
      <text>
        <r>
          <rPr>
            <b/>
            <sz val="9"/>
            <color indexed="81"/>
            <rFont val="Calibri"/>
            <family val="2"/>
          </rPr>
          <t>Jacqui Eales:</t>
        </r>
        <r>
          <rPr>
            <sz val="9"/>
            <color indexed="81"/>
            <rFont val="Calibri"/>
            <family val="2"/>
          </rPr>
          <t xml:space="preserve">
If unsure whether burns are independant, err on side of caution and state that they were not independant. If  &gt;1 in this column, the outcome data for independant burns will have been pooled by authors (most studies likely to have done this). Note that if the study presents separate outcome data for independent burn areas (with paired control areas) e.g. 3 separate burns and 3 separate controls, there can be 3 rows of data, each representing a separate "study" within the report. Each of these would then be "1" for this column.</t>
        </r>
      </text>
    </comment>
    <comment ref="AK2" authorId="0">
      <text>
        <r>
          <rPr>
            <b/>
            <sz val="9"/>
            <color indexed="81"/>
            <rFont val="Calibri"/>
            <family val="2"/>
          </rPr>
          <t>Jacqui Eales:</t>
        </r>
        <r>
          <rPr>
            <sz val="9"/>
            <color indexed="81"/>
            <rFont val="Calibri"/>
            <family val="2"/>
          </rPr>
          <t xml:space="preserve">
No. of burn events per burn unit (at endpoint) i.e. sequential burns. If there were mulitple, i.e. sequential burns, on the same area</t>
        </r>
      </text>
    </comment>
    <comment ref="AL2" authorId="0">
      <text>
        <r>
          <rPr>
            <b/>
            <sz val="9"/>
            <color indexed="81"/>
            <rFont val="Calibri"/>
            <family val="2"/>
          </rPr>
          <t>Jacqui Eales:</t>
        </r>
        <r>
          <rPr>
            <sz val="9"/>
            <color indexed="81"/>
            <rFont val="Calibri"/>
            <family val="2"/>
          </rPr>
          <t xml:space="preserve">
No of burn events per burn unit (median where a range, mean where several numbers)</t>
        </r>
      </text>
    </comment>
    <comment ref="AM2" authorId="0">
      <text>
        <r>
          <rPr>
            <b/>
            <sz val="9"/>
            <color indexed="81"/>
            <rFont val="Calibri"/>
            <family val="2"/>
          </rPr>
          <t>Jacqui Eales:</t>
        </r>
        <r>
          <rPr>
            <sz val="9"/>
            <color indexed="81"/>
            <rFont val="Calibri"/>
            <family val="2"/>
          </rPr>
          <t xml:space="preserve">
Stated size of area burned</t>
        </r>
      </text>
    </comment>
    <comment ref="AO2" authorId="0">
      <text>
        <r>
          <rPr>
            <b/>
            <sz val="9"/>
            <color indexed="81"/>
            <rFont val="Calibri"/>
            <family val="2"/>
          </rPr>
          <t>Jacqui Eales:</t>
        </r>
        <r>
          <rPr>
            <sz val="9"/>
            <color indexed="81"/>
            <rFont val="Calibri"/>
            <family val="2"/>
          </rPr>
          <t xml:space="preserve">
(using data from burn month and summer as June, July, August)</t>
        </r>
      </text>
    </comment>
    <comment ref="AS2" authorId="0">
      <text>
        <r>
          <rPr>
            <b/>
            <sz val="9"/>
            <color indexed="81"/>
            <rFont val="Calibri"/>
            <family val="2"/>
          </rPr>
          <t>Jacqui Eales:</t>
        </r>
        <r>
          <rPr>
            <sz val="9"/>
            <color indexed="81"/>
            <rFont val="Calibri"/>
            <family val="2"/>
          </rPr>
          <t xml:space="preserve">
(usual scale of sampling)</t>
        </r>
      </text>
    </comment>
    <comment ref="AT2" authorId="0">
      <text>
        <r>
          <rPr>
            <b/>
            <sz val="9"/>
            <color indexed="81"/>
            <rFont val="Calibri"/>
            <family val="2"/>
          </rPr>
          <t>Jacqui Eales:</t>
        </r>
        <r>
          <rPr>
            <sz val="9"/>
            <color indexed="81"/>
            <rFont val="Calibri"/>
            <family val="2"/>
          </rPr>
          <t xml:space="preserve">
Report the totla number of samples taken, even if they were pooled</t>
        </r>
      </text>
    </comment>
    <comment ref="AU2" authorId="0">
      <text>
        <r>
          <rPr>
            <b/>
            <sz val="9"/>
            <color indexed="81"/>
            <rFont val="Calibri"/>
            <family val="2"/>
          </rPr>
          <t>Jacqui Eales:</t>
        </r>
        <r>
          <rPr>
            <sz val="9"/>
            <color indexed="81"/>
            <rFont val="Calibri"/>
            <family val="2"/>
          </rPr>
          <t xml:space="preserve">
number of years over which burning undertaken. The number of years is calculated from column stating the number of months between first burn and last sampling
</t>
        </r>
      </text>
    </comment>
    <comment ref="AV2" authorId="0">
      <text>
        <r>
          <rPr>
            <b/>
            <sz val="9"/>
            <color indexed="81"/>
            <rFont val="Calibri"/>
            <family val="2"/>
          </rPr>
          <t>Jacqui Eales:</t>
        </r>
        <r>
          <rPr>
            <sz val="9"/>
            <color indexed="81"/>
            <rFont val="Calibri"/>
            <family val="2"/>
          </rPr>
          <t xml:space="preserve">
no. of burns per year across study period (mean for multiple sites, median of range)</t>
        </r>
      </text>
    </comment>
    <comment ref="AW2" authorId="0">
      <text>
        <r>
          <rPr>
            <b/>
            <sz val="9"/>
            <color indexed="81"/>
            <rFont val="Calibri"/>
            <family val="2"/>
          </rPr>
          <t>Jacqui Eales:</t>
        </r>
        <r>
          <rPr>
            <sz val="9"/>
            <color indexed="81"/>
            <rFont val="Calibri"/>
            <family val="2"/>
          </rPr>
          <t xml:space="preserve">
Make a note if for several independent burn areas, with data presented separately for each. </t>
        </r>
      </text>
    </comment>
    <comment ref="AY2" authorId="0">
      <text>
        <r>
          <rPr>
            <b/>
            <sz val="9"/>
            <color indexed="81"/>
            <rFont val="Calibri"/>
            <family val="2"/>
          </rPr>
          <t>Jacqui Eales:</t>
        </r>
        <r>
          <rPr>
            <sz val="9"/>
            <color indexed="81"/>
            <rFont val="Calibri"/>
            <family val="2"/>
          </rPr>
          <t xml:space="preserve">
Number of independent control areas. This may be pooled across separate areas, if outcome data for burns is pooled.</t>
        </r>
      </text>
    </comment>
    <comment ref="BI2" authorId="0">
      <text>
        <r>
          <rPr>
            <b/>
            <sz val="9"/>
            <color indexed="81"/>
            <rFont val="Calibri"/>
            <family val="2"/>
          </rPr>
          <t>Jacqui Eales:</t>
        </r>
        <r>
          <rPr>
            <sz val="9"/>
            <color indexed="81"/>
            <rFont val="Calibri"/>
            <family val="2"/>
          </rPr>
          <t xml:space="preserve">
This is the area over which the plots were spaced, for the central tendency to be calculated. We will  adjust the units  to be comparable at a later date. This will not necessarily be the same as burn area size e.g. Hyvarinen 2009)</t>
        </r>
      </text>
    </comment>
    <comment ref="BJ2" authorId="0">
      <text>
        <r>
          <rPr>
            <b/>
            <sz val="9"/>
            <color indexed="81"/>
            <rFont val="Calibri"/>
            <family val="2"/>
          </rPr>
          <t>Jacqui Eales:</t>
        </r>
        <r>
          <rPr>
            <sz val="9"/>
            <color indexed="81"/>
            <rFont val="Calibri"/>
            <family val="2"/>
          </rPr>
          <t xml:space="preserve">
 years between first  burn and last sampling (mean for multiple sites, median of range)</t>
        </r>
      </text>
    </comment>
    <comment ref="BK2" authorId="0">
      <text>
        <r>
          <rPr>
            <b/>
            <sz val="9"/>
            <color indexed="81"/>
            <rFont val="Calibri"/>
            <family val="2"/>
          </rPr>
          <t>Jacqui Eales:</t>
        </r>
        <r>
          <rPr>
            <sz val="9"/>
            <color indexed="81"/>
            <rFont val="Calibri"/>
            <family val="2"/>
          </rPr>
          <t xml:space="preserve">
Length of time since the first  burn (in months)</t>
        </r>
      </text>
    </comment>
    <comment ref="BL2" authorId="0">
      <text>
        <r>
          <rPr>
            <b/>
            <sz val="9"/>
            <color indexed="81"/>
            <rFont val="Calibri"/>
            <family val="2"/>
          </rPr>
          <t>Jacqui Eales:</t>
        </r>
        <r>
          <rPr>
            <sz val="9"/>
            <color indexed="81"/>
            <rFont val="Calibri"/>
            <family val="2"/>
          </rPr>
          <t xml:space="preserve">
Length of time since the  last burn (in months)</t>
        </r>
      </text>
    </comment>
    <comment ref="BM2" authorId="0">
      <text>
        <r>
          <rPr>
            <b/>
            <sz val="9"/>
            <color indexed="81"/>
            <rFont val="Calibri"/>
            <family val="2"/>
          </rPr>
          <t>Jacqui Eales:</t>
        </r>
        <r>
          <rPr>
            <sz val="9"/>
            <color indexed="81"/>
            <rFont val="Calibri"/>
            <family val="2"/>
          </rPr>
          <t xml:space="preserve">
Time since last burn: years between last burn and sampling (mean for multiple sites, median of range)</t>
        </r>
      </text>
    </comment>
    <comment ref="BN2" authorId="0">
      <text>
        <r>
          <rPr>
            <b/>
            <sz val="9"/>
            <color indexed="81"/>
            <rFont val="Calibri"/>
            <family val="2"/>
          </rPr>
          <t xml:space="preserve">Jacqui Eales:Were there intermediate time points for which outcome data were reported? (Y/N) . </t>
        </r>
        <r>
          <rPr>
            <sz val="9"/>
            <color indexed="81"/>
            <rFont val="Calibri"/>
            <family val="2"/>
          </rPr>
          <t xml:space="preserve">
Only complete for timepoints where data exists. E.g. if measured twice before the last timepoint, put down "2". Just for infoWere there intermediate time points for which outcome data were reported? (Y/N) </t>
        </r>
      </text>
    </comment>
    <comment ref="BP2" authorId="0">
      <text>
        <r>
          <rPr>
            <b/>
            <sz val="9"/>
            <color indexed="81"/>
            <rFont val="Calibri"/>
            <family val="2"/>
          </rPr>
          <t>Jacqui Eales:</t>
        </r>
        <r>
          <rPr>
            <sz val="9"/>
            <color indexed="81"/>
            <rFont val="Calibri"/>
            <family val="2"/>
          </rPr>
          <t xml:space="preserve">
See "Sapro and pyro" tab.Either " Yes (%)" with percentage of sapro and pyro species," NR" if species are not reported or "No" if clearly not sapro or pyro spp.(report saproxylic or pyrophilous as a percentage of the total spp number)</t>
        </r>
      </text>
    </comment>
    <comment ref="BQ2" authorId="0">
      <text>
        <r>
          <rPr>
            <b/>
            <sz val="9"/>
            <color indexed="81"/>
            <rFont val="Calibri"/>
            <family val="2"/>
          </rPr>
          <t>Jacqui Eales:</t>
        </r>
        <r>
          <rPr>
            <sz val="9"/>
            <color indexed="81"/>
            <rFont val="Calibri"/>
            <family val="2"/>
          </rPr>
          <t xml:space="preserve">
Data used in diversity estimate (e.g. abundance, percent cover, basal area). Where a study reports diversity estimates using more than one type of data, prioritise in the order of abundance, percent cover, basal area</t>
        </r>
      </text>
    </comment>
    <comment ref="BR2" authorId="0">
      <text>
        <r>
          <rPr>
            <b/>
            <sz val="9"/>
            <color indexed="81"/>
            <rFont val="Calibri"/>
            <family val="2"/>
          </rPr>
          <t>Jacqui Eales:</t>
        </r>
        <r>
          <rPr>
            <sz val="9"/>
            <color indexed="81"/>
            <rFont val="Calibri"/>
            <family val="2"/>
          </rPr>
          <t xml:space="preserve">
 (taxa, unsuitable method, species composition by ordination methods, other outcomes with no variance)</t>
        </r>
      </text>
    </comment>
    <comment ref="BT2" authorId="0">
      <text>
        <r>
          <rPr>
            <b/>
            <sz val="9"/>
            <color indexed="81"/>
            <rFont val="Calibri"/>
            <family val="2"/>
          </rPr>
          <t>Jacqui Eales:</t>
        </r>
        <r>
          <rPr>
            <sz val="9"/>
            <color indexed="81"/>
            <rFont val="Calibri"/>
            <family val="2"/>
          </rPr>
          <t xml:space="preserve">
(note in parentheses the number of burns if different across treatments and/or season of burn etc.) See Henning and Dickmann; Ferrenberg for examples.</t>
        </r>
      </text>
    </comment>
    <comment ref="BV2" authorId="1">
      <text>
        <r>
          <rPr>
            <b/>
            <sz val="8"/>
            <color indexed="81"/>
            <rFont val="Tahoma"/>
            <family val="2"/>
          </rPr>
          <t>James Speed:</t>
        </r>
        <r>
          <rPr>
            <sz val="8"/>
            <color indexed="81"/>
            <rFont val="Tahoma"/>
            <family val="2"/>
          </rPr>
          <t xml:space="preserve">
Here enter either the symmetric error magnitude (deviance both above and below the central tendency), or the upper error magnitude (deviance above the central tendency) , or the upper value of the error (central tendency + deviance). </t>
        </r>
      </text>
    </comment>
    <comment ref="BX2" authorId="0">
      <text>
        <r>
          <rPr>
            <b/>
            <sz val="9"/>
            <color indexed="81"/>
            <rFont val="Calibri"/>
            <family val="2"/>
          </rPr>
          <t>Jacqui Eales:</t>
        </r>
        <r>
          <rPr>
            <sz val="9"/>
            <color indexed="81"/>
            <rFont val="Calibri"/>
            <family val="2"/>
          </rPr>
          <t xml:space="preserve">
Unless pooled, this is generally the number of plots x blocks x intervention. i.e. if there was 1  treatment area, with 5 blocks with 3 plots per block, and the 3 replicates were pooled by authors, the No. of replicates was 5. subplots ware generally pooled</t>
        </r>
      </text>
    </comment>
    <comment ref="BY2" authorId="0">
      <text>
        <r>
          <rPr>
            <b/>
            <sz val="9"/>
            <color indexed="81"/>
            <rFont val="Calibri"/>
            <family val="2"/>
          </rPr>
          <t>Jacqui Eales:</t>
        </r>
        <r>
          <rPr>
            <sz val="9"/>
            <color indexed="81"/>
            <rFont val="Calibri"/>
            <family val="2"/>
          </rPr>
          <t xml:space="preserve">
The number of independent burns, blocks or plots. Usually this is at the level of burn or block. This will, to some extent, be a judgement call, as to whether sample units were independent. </t>
        </r>
      </text>
    </comment>
    <comment ref="BZ2" authorId="0">
      <text>
        <r>
          <rPr>
            <b/>
            <sz val="9"/>
            <color indexed="81"/>
            <rFont val="Calibri"/>
            <family val="2"/>
          </rPr>
          <t>Jacqui Eales:</t>
        </r>
        <r>
          <rPr>
            <sz val="9"/>
            <color indexed="81"/>
            <rFont val="Calibri"/>
            <family val="2"/>
          </rPr>
          <t xml:space="preserve">
Note the figure number or table number or whether data was given in text (which section/page number) Use webplot digitiser to extract data from figures</t>
        </r>
      </text>
    </comment>
    <comment ref="CD2" authorId="1">
      <text>
        <r>
          <rPr>
            <b/>
            <sz val="8"/>
            <color indexed="81"/>
            <rFont val="Tahoma"/>
            <family val="2"/>
          </rPr>
          <t>James Speed:</t>
        </r>
        <r>
          <rPr>
            <sz val="8"/>
            <color indexed="81"/>
            <rFont val="Tahoma"/>
            <family val="2"/>
          </rPr>
          <t xml:space="preserve">
Here enter either the symmetric error magnitude (deviance both above and below the central tendency), or the upper error magnitude (deviance above the central tendency) , or the upper value of the error (central tendency + deviance). </t>
        </r>
      </text>
    </comment>
    <comment ref="CF2" authorId="0">
      <text>
        <r>
          <rPr>
            <b/>
            <sz val="9"/>
            <color indexed="81"/>
            <rFont val="Calibri"/>
            <family val="2"/>
          </rPr>
          <t>Jacqui Eales:</t>
        </r>
        <r>
          <rPr>
            <sz val="9"/>
            <color indexed="81"/>
            <rFont val="Calibri"/>
            <family val="2"/>
          </rPr>
          <t xml:space="preserve">
Total number of replicates  used to  calculate  central tendancy and SD/SE for the outcome.i.e. if there were 5 blocks with 3 plots per block, and the 3 replicates were pooled, the No. of replicates was 5</t>
        </r>
      </text>
    </comment>
    <comment ref="CG2" authorId="0">
      <text>
        <r>
          <rPr>
            <b/>
            <sz val="9"/>
            <color indexed="81"/>
            <rFont val="Calibri"/>
            <family val="2"/>
          </rPr>
          <t>Jacqui Eales:</t>
        </r>
        <r>
          <rPr>
            <sz val="9"/>
            <color indexed="81"/>
            <rFont val="Calibri"/>
            <family val="2"/>
          </rPr>
          <t xml:space="preserve">
The number of independent burns, blocks or plots. Usually this is at the level of burn or block. This will, to some extent, be a judgement call, as to whether sample units were independent. </t>
        </r>
      </text>
    </comment>
    <comment ref="CH2" authorId="0">
      <text>
        <r>
          <rPr>
            <b/>
            <sz val="9"/>
            <color indexed="81"/>
            <rFont val="Calibri"/>
            <family val="2"/>
          </rPr>
          <t>Jacqui Eales:</t>
        </r>
        <r>
          <rPr>
            <sz val="9"/>
            <color indexed="81"/>
            <rFont val="Calibri"/>
            <family val="2"/>
          </rPr>
          <t xml:space="preserve">
Note the figure number or table number or whether data was given in text (which section/page number) Use webplot digitiser to extract data from figures</t>
        </r>
      </text>
    </comment>
    <comment ref="CJ2" authorId="0">
      <text>
        <r>
          <rPr>
            <b/>
            <sz val="9"/>
            <color indexed="81"/>
            <rFont val="Calibri"/>
            <family val="2"/>
          </rPr>
          <t>Jacqui Eales:</t>
        </r>
        <r>
          <rPr>
            <sz val="9"/>
            <color indexed="81"/>
            <rFont val="Calibri"/>
            <family val="2"/>
          </rPr>
          <t xml:space="preserve">
(note in parentheses the number of burns if different across treatments and/or season of burn etc.) See Henning and Dickmann; Ferrenberg for examples.</t>
        </r>
      </text>
    </comment>
    <comment ref="CL2" authorId="1">
      <text>
        <r>
          <rPr>
            <b/>
            <sz val="8"/>
            <color indexed="81"/>
            <rFont val="Tahoma"/>
            <family val="2"/>
          </rPr>
          <t>James Speed:</t>
        </r>
        <r>
          <rPr>
            <sz val="8"/>
            <color indexed="81"/>
            <rFont val="Tahoma"/>
            <family val="2"/>
          </rPr>
          <t xml:space="preserve">
Here enter either the symmetric error magnitude (deviance both above and below the central tendency), or the upper error magnitude (deviance above the central tendency) , or the upper value of the error (central tendency + deviance). </t>
        </r>
      </text>
    </comment>
    <comment ref="CN2" authorId="0">
      <text>
        <r>
          <rPr>
            <b/>
            <sz val="9"/>
            <color indexed="81"/>
            <rFont val="Calibri"/>
            <family val="2"/>
          </rPr>
          <t>Jacqui Eales:</t>
        </r>
        <r>
          <rPr>
            <sz val="9"/>
            <color indexed="81"/>
            <rFont val="Calibri"/>
            <family val="2"/>
          </rPr>
          <t xml:space="preserve">
Total number of replicates  used to  calculate  central tendancy and SD/SE for the outcome.i.e. if there were 5 blocks with 3 plots per block, and the 3 replicates were pooled, the No. of replicates was 5</t>
        </r>
      </text>
    </comment>
    <comment ref="CO2" authorId="0">
      <text>
        <r>
          <rPr>
            <b/>
            <sz val="9"/>
            <color indexed="81"/>
            <rFont val="Calibri"/>
            <family val="2"/>
          </rPr>
          <t>Jacqui Eales:</t>
        </r>
        <r>
          <rPr>
            <sz val="9"/>
            <color indexed="81"/>
            <rFont val="Calibri"/>
            <family val="2"/>
          </rPr>
          <t xml:space="preserve">
The number of independent burns, blocks or plots. Usually this is at the level of burn or block. This will, to some extent, be a judgement call, as to whether sample units were independent. </t>
        </r>
      </text>
    </comment>
    <comment ref="CP2" authorId="0">
      <text>
        <r>
          <rPr>
            <b/>
            <sz val="9"/>
            <color indexed="81"/>
            <rFont val="Calibri"/>
            <family val="2"/>
          </rPr>
          <t>Jacqui Eales:</t>
        </r>
        <r>
          <rPr>
            <sz val="9"/>
            <color indexed="81"/>
            <rFont val="Calibri"/>
            <family val="2"/>
          </rPr>
          <t xml:space="preserve">
Note the figure number or table number or whether data was given in text (which section/page number) Use webplot digitiser to extract data from figures</t>
        </r>
      </text>
    </comment>
    <comment ref="CR2" authorId="0">
      <text>
        <r>
          <rPr>
            <b/>
            <sz val="9"/>
            <color indexed="81"/>
            <rFont val="Calibri"/>
            <family val="2"/>
          </rPr>
          <t>Jacqui Eales:</t>
        </r>
        <r>
          <rPr>
            <sz val="9"/>
            <color indexed="81"/>
            <rFont val="Calibri"/>
            <family val="2"/>
          </rPr>
          <t xml:space="preserve">
(note in parentheses the number of burns if different across treatments and/or season of burn etc.) See Henning and Dickmann; Ferrenberg for examples.</t>
        </r>
      </text>
    </comment>
    <comment ref="CT2" authorId="1">
      <text>
        <r>
          <rPr>
            <b/>
            <sz val="8"/>
            <color indexed="81"/>
            <rFont val="Tahoma"/>
            <family val="2"/>
          </rPr>
          <t>James Speed:</t>
        </r>
        <r>
          <rPr>
            <sz val="8"/>
            <color indexed="81"/>
            <rFont val="Tahoma"/>
            <family val="2"/>
          </rPr>
          <t xml:space="preserve">
Here enter either the symmetric error magnitude (deviance both above and below the central tendency), or the upper error magnitude (deviance above the central tendency) , or the upper value of the error (central tendency + deviance). </t>
        </r>
      </text>
    </comment>
    <comment ref="CV2" authorId="0">
      <text>
        <r>
          <rPr>
            <b/>
            <sz val="9"/>
            <color indexed="81"/>
            <rFont val="Calibri"/>
            <family val="2"/>
          </rPr>
          <t>Jacqui Eales:</t>
        </r>
        <r>
          <rPr>
            <sz val="9"/>
            <color indexed="81"/>
            <rFont val="Calibri"/>
            <family val="2"/>
          </rPr>
          <t xml:space="preserve">
Total number of replicates  used to  calculate  central tendancy and SD/SE for the outcome.i.e. if there were 5 blocks with 3 plots per block, and the 3 replicates were pooled, the No. of replicates was 5</t>
        </r>
      </text>
    </comment>
    <comment ref="CW2" authorId="0">
      <text>
        <r>
          <rPr>
            <b/>
            <sz val="9"/>
            <color indexed="81"/>
            <rFont val="Calibri"/>
            <family val="2"/>
          </rPr>
          <t>Jacqui Eales:</t>
        </r>
        <r>
          <rPr>
            <sz val="9"/>
            <color indexed="81"/>
            <rFont val="Calibri"/>
            <family val="2"/>
          </rPr>
          <t xml:space="preserve">
The number of independent burns, blocks or plots. Usually this is at the level of burn or block. This will, to some extent, be a judgement call, as to whether sample units were independent. </t>
        </r>
      </text>
    </comment>
    <comment ref="CX2" authorId="0">
      <text>
        <r>
          <rPr>
            <b/>
            <sz val="9"/>
            <color indexed="81"/>
            <rFont val="Calibri"/>
            <family val="2"/>
          </rPr>
          <t>Jacqui Eales:</t>
        </r>
        <r>
          <rPr>
            <sz val="9"/>
            <color indexed="81"/>
            <rFont val="Calibri"/>
            <family val="2"/>
          </rPr>
          <t xml:space="preserve">
Note the figure number or table number or whether data was given in text (which section/page number) Use webplot digitiser to extract data from figures</t>
        </r>
      </text>
    </comment>
    <comment ref="DB2" authorId="1">
      <text>
        <r>
          <rPr>
            <b/>
            <sz val="8"/>
            <color indexed="81"/>
            <rFont val="Tahoma"/>
            <family val="2"/>
          </rPr>
          <t>James Speed:</t>
        </r>
        <r>
          <rPr>
            <sz val="8"/>
            <color indexed="81"/>
            <rFont val="Tahoma"/>
            <family val="2"/>
          </rPr>
          <t xml:space="preserve">
Here enter either the symmetric error magnitude (deviance both above and below the central tendency), or the upper error magnitude (deviance above the central tendency) , or the upper value of the error (central tendency + deviance). </t>
        </r>
      </text>
    </comment>
    <comment ref="DD2" authorId="0">
      <text>
        <r>
          <rPr>
            <b/>
            <sz val="9"/>
            <color indexed="81"/>
            <rFont val="Calibri"/>
            <family val="2"/>
          </rPr>
          <t>Jacqui Eales:</t>
        </r>
        <r>
          <rPr>
            <sz val="9"/>
            <color indexed="81"/>
            <rFont val="Calibri"/>
            <family val="2"/>
          </rPr>
          <t xml:space="preserve">
Total number of replicates  used to  calculate  central tendancy and SD/SE for the outcome.i.e. if there were 5 blocks with 3 plots per block, and the 3 replicates were pooled, the No. of replicates was 5</t>
        </r>
      </text>
    </comment>
    <comment ref="DE2" authorId="0">
      <text>
        <r>
          <rPr>
            <b/>
            <sz val="9"/>
            <color indexed="81"/>
            <rFont val="Calibri"/>
            <family val="2"/>
          </rPr>
          <t>Jacqui Eales:</t>
        </r>
        <r>
          <rPr>
            <sz val="9"/>
            <color indexed="81"/>
            <rFont val="Calibri"/>
            <family val="2"/>
          </rPr>
          <t xml:space="preserve">
The number of independent burns, blocks or plots. Usually this is at the level of burn or block. This will, to some extent, be a judgement call, as to whether sample units were independent. </t>
        </r>
      </text>
    </comment>
    <comment ref="DF2" authorId="0">
      <text>
        <r>
          <rPr>
            <b/>
            <sz val="9"/>
            <color indexed="81"/>
            <rFont val="Calibri"/>
            <family val="2"/>
          </rPr>
          <t>Jacqui Eales:</t>
        </r>
        <r>
          <rPr>
            <sz val="9"/>
            <color indexed="81"/>
            <rFont val="Calibri"/>
            <family val="2"/>
          </rPr>
          <t xml:space="preserve">
Note the figure number or table number or whether data was given in text (which section/page number) Use webplot digitiser to extract data from figures</t>
        </r>
      </text>
    </comment>
    <comment ref="DH2" authorId="0">
      <text>
        <r>
          <rPr>
            <b/>
            <sz val="9"/>
            <color indexed="81"/>
            <rFont val="Calibri"/>
            <family val="2"/>
          </rPr>
          <t>Jacqui Eales:</t>
        </r>
        <r>
          <rPr>
            <sz val="9"/>
            <color indexed="81"/>
            <rFont val="Calibri"/>
            <family val="2"/>
          </rPr>
          <t xml:space="preserve">
(note in parentheses the number of burns if different across treatments and/or season of burn etc.) See Henning and Dickmann; Ferrenberg for examples.</t>
        </r>
      </text>
    </comment>
    <comment ref="DJ2" authorId="1">
      <text>
        <r>
          <rPr>
            <b/>
            <sz val="8"/>
            <color indexed="81"/>
            <rFont val="Tahoma"/>
            <family val="2"/>
          </rPr>
          <t>James Speed:</t>
        </r>
        <r>
          <rPr>
            <sz val="8"/>
            <color indexed="81"/>
            <rFont val="Tahoma"/>
            <family val="2"/>
          </rPr>
          <t xml:space="preserve">
Here enter either the symmetric error magnitude (deviance both above and below the central tendency), or the upper error magnitude (deviance above the central tendency) , or the upper value of the error (central tendency + deviance). </t>
        </r>
      </text>
    </comment>
    <comment ref="DL2" authorId="0">
      <text>
        <r>
          <rPr>
            <b/>
            <sz val="9"/>
            <color indexed="81"/>
            <rFont val="Calibri"/>
            <family val="2"/>
          </rPr>
          <t>Jacqui Eales:</t>
        </r>
        <r>
          <rPr>
            <sz val="9"/>
            <color indexed="81"/>
            <rFont val="Calibri"/>
            <family val="2"/>
          </rPr>
          <t xml:space="preserve">
Total number of replicates  used to  calculate  central tendancy and SD/SE for the outcome.i.e. if there were 5 blocks with 3 plots per block, and the 3 replicates were pooled, the No. of replicates was 5</t>
        </r>
      </text>
    </comment>
    <comment ref="DM2" authorId="0">
      <text>
        <r>
          <rPr>
            <b/>
            <sz val="9"/>
            <color indexed="81"/>
            <rFont val="Calibri"/>
            <family val="2"/>
          </rPr>
          <t>Jacqui Eales:</t>
        </r>
        <r>
          <rPr>
            <sz val="9"/>
            <color indexed="81"/>
            <rFont val="Calibri"/>
            <family val="2"/>
          </rPr>
          <t xml:space="preserve">
The number of independent burns, blocks or plots. Usually this is at the level of burn or block. This will, to some extent, be a judgement call, as to whether sample units were independent. </t>
        </r>
      </text>
    </comment>
    <comment ref="DN2" authorId="0">
      <text>
        <r>
          <rPr>
            <b/>
            <sz val="9"/>
            <color indexed="81"/>
            <rFont val="Calibri"/>
            <family val="2"/>
          </rPr>
          <t>Jacqui Eales:</t>
        </r>
        <r>
          <rPr>
            <sz val="9"/>
            <color indexed="81"/>
            <rFont val="Calibri"/>
            <family val="2"/>
          </rPr>
          <t xml:space="preserve">
Note the figure number or table number or whether data was given in text (which section/page number) Use webplot digitiser to extract data from figures</t>
        </r>
      </text>
    </comment>
    <comment ref="DR2" authorId="1">
      <text>
        <r>
          <rPr>
            <b/>
            <sz val="8"/>
            <color indexed="81"/>
            <rFont val="Tahoma"/>
            <family val="2"/>
          </rPr>
          <t>James Speed:</t>
        </r>
        <r>
          <rPr>
            <sz val="8"/>
            <color indexed="81"/>
            <rFont val="Tahoma"/>
            <family val="2"/>
          </rPr>
          <t xml:space="preserve">
Here enter either the symmetric error magnitude (deviance both above and below the central tendency), or the upper error magnitude (deviance above the central tendency) , or the upper value of the error (central tendency + deviance). </t>
        </r>
      </text>
    </comment>
    <comment ref="DT2" authorId="0">
      <text>
        <r>
          <rPr>
            <b/>
            <sz val="9"/>
            <color indexed="81"/>
            <rFont val="Calibri"/>
            <family val="2"/>
          </rPr>
          <t>Jacqui Eales:</t>
        </r>
        <r>
          <rPr>
            <sz val="9"/>
            <color indexed="81"/>
            <rFont val="Calibri"/>
            <family val="2"/>
          </rPr>
          <t xml:space="preserve">
Total number of replicates  used to  calculate  central tendancy and SD/SE for the outcome.i.e. if there were 5 blocks with 3 plots per block, and the 3 replicates were pooled, the No. of replicates was 5</t>
        </r>
      </text>
    </comment>
    <comment ref="DU2" authorId="0">
      <text>
        <r>
          <rPr>
            <b/>
            <sz val="9"/>
            <color indexed="81"/>
            <rFont val="Calibri"/>
            <family val="2"/>
          </rPr>
          <t>Jacqui Eales:</t>
        </r>
        <r>
          <rPr>
            <sz val="9"/>
            <color indexed="81"/>
            <rFont val="Calibri"/>
            <family val="2"/>
          </rPr>
          <t xml:space="preserve">
The number of independent burns, blocks or plots. Usually this is at the level of burn or block. This will, to some extent, be a judgement call, as to whether sample units were independent. </t>
        </r>
      </text>
    </comment>
    <comment ref="DV2" authorId="0">
      <text>
        <r>
          <rPr>
            <b/>
            <sz val="9"/>
            <color indexed="81"/>
            <rFont val="Calibri"/>
            <family val="2"/>
          </rPr>
          <t>Jacqui Eales:</t>
        </r>
        <r>
          <rPr>
            <sz val="9"/>
            <color indexed="81"/>
            <rFont val="Calibri"/>
            <family val="2"/>
          </rPr>
          <t xml:space="preserve">
Note the figure number or table number or whether data was given in text (which section/page number) Use webplot digitiser to extract data from figures</t>
        </r>
      </text>
    </comment>
    <comment ref="DX2" authorId="0">
      <text>
        <r>
          <rPr>
            <b/>
            <sz val="9"/>
            <color indexed="81"/>
            <rFont val="Calibri"/>
            <family val="2"/>
          </rPr>
          <t>Jacqui Eales:</t>
        </r>
        <r>
          <rPr>
            <sz val="9"/>
            <color indexed="81"/>
            <rFont val="Calibri"/>
            <family val="2"/>
          </rPr>
          <t xml:space="preserve">
(note in parentheses the number of burns if different across treatments and/or season of burn etc.) See Henning and Dickmann; Ferrenberg for examples.</t>
        </r>
      </text>
    </comment>
    <comment ref="DZ2" authorId="1">
      <text>
        <r>
          <rPr>
            <b/>
            <sz val="8"/>
            <color indexed="81"/>
            <rFont val="Tahoma"/>
            <family val="2"/>
          </rPr>
          <t>James Speed:</t>
        </r>
        <r>
          <rPr>
            <sz val="8"/>
            <color indexed="81"/>
            <rFont val="Tahoma"/>
            <family val="2"/>
          </rPr>
          <t xml:space="preserve">
Here enter either the symmetric error magnitude (deviance both above and below the central tendency), or the upper error magnitude (deviance above the central tendency) , or the upper value of the error (central tendency + deviance). </t>
        </r>
      </text>
    </comment>
    <comment ref="EB2" authorId="0">
      <text>
        <r>
          <rPr>
            <b/>
            <sz val="9"/>
            <color indexed="81"/>
            <rFont val="Calibri"/>
            <family val="2"/>
          </rPr>
          <t>Jacqui Eales:</t>
        </r>
        <r>
          <rPr>
            <sz val="9"/>
            <color indexed="81"/>
            <rFont val="Calibri"/>
            <family val="2"/>
          </rPr>
          <t xml:space="preserve">
Total number of replicates  used to  calculate  central tendancy and SD/SE for the outcome.i.e. if there were 5 blocks with 3 plots per block, and the 3 replicates were pooled, the No. of replicates was 5</t>
        </r>
      </text>
    </comment>
    <comment ref="EC2" authorId="0">
      <text>
        <r>
          <rPr>
            <b/>
            <sz val="9"/>
            <color indexed="81"/>
            <rFont val="Calibri"/>
            <family val="2"/>
          </rPr>
          <t>Jacqui Eales:</t>
        </r>
        <r>
          <rPr>
            <sz val="9"/>
            <color indexed="81"/>
            <rFont val="Calibri"/>
            <family val="2"/>
          </rPr>
          <t xml:space="preserve">
The number of independent burns, blocks or plots. Usually this is at the level of burn or block. This will, to some extent, be a judgement call, as to whether sample units were independent. </t>
        </r>
      </text>
    </comment>
    <comment ref="ED2" authorId="0">
      <text>
        <r>
          <rPr>
            <b/>
            <sz val="9"/>
            <color indexed="81"/>
            <rFont val="Calibri"/>
            <family val="2"/>
          </rPr>
          <t>Jacqui Eales:</t>
        </r>
        <r>
          <rPr>
            <sz val="9"/>
            <color indexed="81"/>
            <rFont val="Calibri"/>
            <family val="2"/>
          </rPr>
          <t xml:space="preserve">
Note the figure number or table number or whether data was given in text (which section/page number) Use webplot digitiser to extract data from figures</t>
        </r>
      </text>
    </comment>
    <comment ref="EF2" authorId="0">
      <text>
        <r>
          <rPr>
            <b/>
            <sz val="9"/>
            <color indexed="81"/>
            <rFont val="Calibri"/>
            <family val="2"/>
          </rPr>
          <t>Jacqui Eales:</t>
        </r>
        <r>
          <rPr>
            <sz val="9"/>
            <color indexed="81"/>
            <rFont val="Calibri"/>
            <family val="2"/>
          </rPr>
          <t xml:space="preserve">
(note in parentheses the number of burns if different across treatments and/or season of burn etc.) See Henning and Dickmann; Ferrenberg for examples.</t>
        </r>
      </text>
    </comment>
    <comment ref="EH2" authorId="1">
      <text>
        <r>
          <rPr>
            <b/>
            <sz val="8"/>
            <color indexed="81"/>
            <rFont val="Tahoma"/>
            <family val="2"/>
          </rPr>
          <t>James Speed:</t>
        </r>
        <r>
          <rPr>
            <sz val="8"/>
            <color indexed="81"/>
            <rFont val="Tahoma"/>
            <family val="2"/>
          </rPr>
          <t xml:space="preserve">
Here enter either the symmetric error magnitude (deviance both above and below the central tendency), or the upper error magnitude (deviance above the central tendency) , or the upper value of the error (central tendency + deviance). </t>
        </r>
      </text>
    </comment>
    <comment ref="EJ2" authorId="0">
      <text>
        <r>
          <rPr>
            <b/>
            <sz val="9"/>
            <color indexed="81"/>
            <rFont val="Calibri"/>
            <family val="2"/>
          </rPr>
          <t>Jacqui Eales:</t>
        </r>
        <r>
          <rPr>
            <sz val="9"/>
            <color indexed="81"/>
            <rFont val="Calibri"/>
            <family val="2"/>
          </rPr>
          <t xml:space="preserve">
Total number of replicates  used to  calculate  central tendancy and SD/SE for the outcome.i.e. if there were 5 blocks with 3 plots per block, and the 3 replicates were pooled, the No. of replicates was 5</t>
        </r>
      </text>
    </comment>
    <comment ref="EK2" authorId="0">
      <text>
        <r>
          <rPr>
            <b/>
            <sz val="9"/>
            <color indexed="81"/>
            <rFont val="Calibri"/>
            <family val="2"/>
          </rPr>
          <t>Jacqui Eales:</t>
        </r>
        <r>
          <rPr>
            <sz val="9"/>
            <color indexed="81"/>
            <rFont val="Calibri"/>
            <family val="2"/>
          </rPr>
          <t xml:space="preserve">
The number of independent burns, blocks or plots. Usually this is at the level of burn or block. This will, to some extent, be a judgement call, as to whether sample units were independent. </t>
        </r>
      </text>
    </comment>
    <comment ref="EL2" authorId="0">
      <text>
        <r>
          <rPr>
            <b/>
            <sz val="9"/>
            <color indexed="81"/>
            <rFont val="Calibri"/>
            <family val="2"/>
          </rPr>
          <t>Jacqui Eales:</t>
        </r>
        <r>
          <rPr>
            <sz val="9"/>
            <color indexed="81"/>
            <rFont val="Calibri"/>
            <family val="2"/>
          </rPr>
          <t xml:space="preserve">
Note the figure number or table number or whether data was given in text (which section/page number) Use webplot digitiser to extract data from figures</t>
        </r>
      </text>
    </comment>
    <comment ref="AV6" authorId="0">
      <text>
        <r>
          <rPr>
            <b/>
            <sz val="9"/>
            <color indexed="81"/>
            <rFont val="Calibri"/>
            <family val="2"/>
          </rPr>
          <t>Jacqui Eales:</t>
        </r>
        <r>
          <rPr>
            <sz val="9"/>
            <color indexed="81"/>
            <rFont val="Calibri"/>
            <family val="2"/>
          </rPr>
          <t xml:space="preserve">
changed to 1 y because study duration was &lt;1y</t>
        </r>
      </text>
    </comment>
    <comment ref="BE8" authorId="0">
      <text>
        <r>
          <rPr>
            <b/>
            <sz val="9"/>
            <color indexed="81"/>
            <rFont val="Calibri"/>
            <family val="2"/>
          </rPr>
          <t>Jacqui Eales:</t>
        </r>
        <r>
          <rPr>
            <sz val="9"/>
            <color indexed="81"/>
            <rFont val="Calibri"/>
            <family val="2"/>
          </rPr>
          <t xml:space="preserve">
JE converted from D to 1-D
</t>
        </r>
      </text>
    </comment>
    <comment ref="BE16" authorId="0">
      <text>
        <r>
          <rPr>
            <b/>
            <sz val="9"/>
            <color indexed="81"/>
            <rFont val="Calibri"/>
            <family val="2"/>
          </rPr>
          <t>Jacqui Eales:</t>
        </r>
        <r>
          <rPr>
            <sz val="9"/>
            <color indexed="81"/>
            <rFont val="Calibri"/>
            <family val="2"/>
          </rPr>
          <t xml:space="preserve">
Authors were not clear with reporting but due to the values presented, it appears that the authors used the Invesre Simpsons Index
</t>
        </r>
      </text>
    </comment>
    <comment ref="AV17" authorId="0">
      <text>
        <r>
          <rPr>
            <b/>
            <sz val="9"/>
            <color indexed="81"/>
            <rFont val="Calibri"/>
            <family val="2"/>
          </rPr>
          <t>Jacqui Eales:</t>
        </r>
        <r>
          <rPr>
            <sz val="9"/>
            <color indexed="81"/>
            <rFont val="Calibri"/>
            <family val="2"/>
          </rPr>
          <t xml:space="preserve">
changed to 1 y because study duration was &lt;1y</t>
        </r>
      </text>
    </comment>
    <comment ref="AV22" authorId="0">
      <text>
        <r>
          <rPr>
            <b/>
            <sz val="9"/>
            <color indexed="81"/>
            <rFont val="Calibri"/>
            <family val="2"/>
          </rPr>
          <t>Jacqui Eales:</t>
        </r>
        <r>
          <rPr>
            <sz val="9"/>
            <color indexed="81"/>
            <rFont val="Calibri"/>
            <family val="2"/>
          </rPr>
          <t xml:space="preserve">
changed to 1 y because study duration was &lt;1y</t>
        </r>
      </text>
    </comment>
    <comment ref="AV23" authorId="0">
      <text>
        <r>
          <rPr>
            <b/>
            <sz val="9"/>
            <color indexed="81"/>
            <rFont val="Calibri"/>
            <family val="2"/>
          </rPr>
          <t>Jacqui Eales:</t>
        </r>
        <r>
          <rPr>
            <sz val="9"/>
            <color indexed="81"/>
            <rFont val="Calibri"/>
            <family val="2"/>
          </rPr>
          <t xml:space="preserve">
changed to 1 y because study duration was &lt;1y</t>
        </r>
      </text>
    </comment>
    <comment ref="AV24" authorId="0">
      <text>
        <r>
          <rPr>
            <b/>
            <sz val="9"/>
            <color indexed="81"/>
            <rFont val="Calibri"/>
            <family val="2"/>
          </rPr>
          <t>Jacqui Eales:</t>
        </r>
        <r>
          <rPr>
            <sz val="9"/>
            <color indexed="81"/>
            <rFont val="Calibri"/>
            <family val="2"/>
          </rPr>
          <t xml:space="preserve">
changed to 1 y because study duration was &lt;1y</t>
        </r>
      </text>
    </comment>
    <comment ref="BK27" authorId="0">
      <text>
        <r>
          <rPr>
            <b/>
            <sz val="9"/>
            <color indexed="81"/>
            <rFont val="Calibri"/>
            <family val="2"/>
          </rPr>
          <t>Jacqui Eales:</t>
        </r>
        <r>
          <rPr>
            <sz val="9"/>
            <color indexed="81"/>
            <rFont val="Calibri"/>
            <family val="2"/>
          </rPr>
          <t xml:space="preserve">
changed from 14 to 15 to reflect data collected in summer 2005, fires in spring 2004 (12 months plus 3 months)
</t>
        </r>
      </text>
    </comment>
    <comment ref="EC27" authorId="0">
      <text>
        <r>
          <rPr>
            <b/>
            <sz val="9"/>
            <color indexed="81"/>
            <rFont val="Calibri"/>
            <family val="2"/>
          </rPr>
          <t>Jacqui Eales:</t>
        </r>
        <r>
          <rPr>
            <sz val="9"/>
            <color indexed="81"/>
            <rFont val="Calibri"/>
            <family val="2"/>
          </rPr>
          <t xml:space="preserve">
changed from 2 to 12, see comment</t>
        </r>
      </text>
    </comment>
    <comment ref="EK27" authorId="0">
      <text>
        <r>
          <rPr>
            <b/>
            <sz val="9"/>
            <color indexed="81"/>
            <rFont val="Calibri"/>
            <family val="2"/>
          </rPr>
          <t>Jacqui Eales:</t>
        </r>
        <r>
          <rPr>
            <sz val="9"/>
            <color indexed="81"/>
            <rFont val="Calibri"/>
            <family val="2"/>
          </rPr>
          <t xml:space="preserve">
changed from 4 to 24, see comment</t>
        </r>
      </text>
    </comment>
    <comment ref="BF29" authorId="0">
      <text>
        <r>
          <rPr>
            <b/>
            <sz val="9"/>
            <color indexed="81"/>
            <rFont val="Calibri"/>
            <family val="2"/>
          </rPr>
          <t>Jacqui Eales:</t>
        </r>
        <r>
          <rPr>
            <sz val="9"/>
            <color indexed="81"/>
            <rFont val="Calibri"/>
            <family val="2"/>
          </rPr>
          <t xml:space="preserve">
changed from VascW, as graminoids are herbaceous</t>
        </r>
      </text>
    </comment>
    <comment ref="S51" authorId="0">
      <text>
        <r>
          <rPr>
            <b/>
            <sz val="9"/>
            <color indexed="81"/>
            <rFont val="Calibri"/>
            <family val="2"/>
          </rPr>
          <t>Jacqui Eales:</t>
        </r>
        <r>
          <rPr>
            <sz val="9"/>
            <color indexed="81"/>
            <rFont val="Calibri"/>
            <family val="2"/>
          </rPr>
          <t xml:space="preserve">
Added the study names as it’s the same study site as Hyvärinen et al (2009)</t>
        </r>
      </text>
    </comment>
    <comment ref="AV51" authorId="0">
      <text>
        <r>
          <rPr>
            <b/>
            <sz val="9"/>
            <color indexed="81"/>
            <rFont val="Calibri"/>
            <family val="2"/>
          </rPr>
          <t>Jacqui Eales:</t>
        </r>
        <r>
          <rPr>
            <sz val="9"/>
            <color indexed="81"/>
            <rFont val="Calibri"/>
            <family val="2"/>
          </rPr>
          <t xml:space="preserve">
1 burn, measured after 1 month. I have changed from 12 to 1</t>
        </r>
      </text>
    </comment>
    <comment ref="BE55" authorId="0">
      <text>
        <r>
          <rPr>
            <b/>
            <sz val="9"/>
            <color indexed="81"/>
            <rFont val="Calibri"/>
            <family val="2"/>
          </rPr>
          <t>Jacqui Eales:</t>
        </r>
        <r>
          <rPr>
            <sz val="9"/>
            <color indexed="81"/>
            <rFont val="Calibri"/>
            <family val="2"/>
          </rPr>
          <t xml:space="preserve">
Authors were not clear with reporting but due to the values presented, it appears that the authors used the Invesre Simpsons Index
</t>
        </r>
      </text>
    </comment>
    <comment ref="BE70" authorId="0">
      <text>
        <r>
          <rPr>
            <b/>
            <sz val="9"/>
            <color indexed="81"/>
            <rFont val="Calibri"/>
            <family val="2"/>
          </rPr>
          <t>Jacqui Eales:</t>
        </r>
        <r>
          <rPr>
            <sz val="9"/>
            <color indexed="81"/>
            <rFont val="Calibri"/>
            <family val="2"/>
          </rPr>
          <t xml:space="preserve">
JE converted from D to 1-D</t>
        </r>
      </text>
    </comment>
    <comment ref="AV104" authorId="0">
      <text>
        <r>
          <rPr>
            <b/>
            <sz val="9"/>
            <color indexed="81"/>
            <rFont val="Calibri"/>
            <family val="2"/>
          </rPr>
          <t>Jacqui Eales:</t>
        </r>
        <r>
          <rPr>
            <sz val="9"/>
            <color indexed="81"/>
            <rFont val="Calibri"/>
            <family val="2"/>
          </rPr>
          <t xml:space="preserve">
changed to 1 y because study duration was &lt;1y</t>
        </r>
      </text>
    </comment>
    <comment ref="AV105" authorId="0">
      <text>
        <r>
          <rPr>
            <b/>
            <sz val="9"/>
            <color indexed="81"/>
            <rFont val="Calibri"/>
            <family val="2"/>
          </rPr>
          <t>Jacqui Eales:</t>
        </r>
        <r>
          <rPr>
            <sz val="9"/>
            <color indexed="81"/>
            <rFont val="Calibri"/>
            <family val="2"/>
          </rPr>
          <t xml:space="preserve">
changed to 1 y because study duration was &lt;1y</t>
        </r>
      </text>
    </comment>
    <comment ref="AV106" authorId="0">
      <text>
        <r>
          <rPr>
            <b/>
            <sz val="9"/>
            <color indexed="81"/>
            <rFont val="Calibri"/>
            <family val="2"/>
          </rPr>
          <t>Jacqui Eales:</t>
        </r>
        <r>
          <rPr>
            <sz val="9"/>
            <color indexed="81"/>
            <rFont val="Calibri"/>
            <family val="2"/>
          </rPr>
          <t xml:space="preserve">
changed to 1 y because study duration was &lt;1y</t>
        </r>
      </text>
    </comment>
    <comment ref="AV107" authorId="0">
      <text>
        <r>
          <rPr>
            <b/>
            <sz val="9"/>
            <color indexed="81"/>
            <rFont val="Calibri"/>
            <family val="2"/>
          </rPr>
          <t>Jacqui Eales:</t>
        </r>
        <r>
          <rPr>
            <sz val="9"/>
            <color indexed="81"/>
            <rFont val="Calibri"/>
            <family val="2"/>
          </rPr>
          <t xml:space="preserve">
changed to 1 y because study duration was &lt;1y</t>
        </r>
      </text>
    </comment>
    <comment ref="AV108" authorId="0">
      <text>
        <r>
          <rPr>
            <b/>
            <sz val="9"/>
            <color indexed="81"/>
            <rFont val="Calibri"/>
            <family val="2"/>
          </rPr>
          <t>Jacqui Eales:</t>
        </r>
        <r>
          <rPr>
            <sz val="9"/>
            <color indexed="81"/>
            <rFont val="Calibri"/>
            <family val="2"/>
          </rPr>
          <t xml:space="preserve">
changed to 1 y because study duration was &lt;1y</t>
        </r>
      </text>
    </comment>
    <comment ref="AV109" authorId="0">
      <text>
        <r>
          <rPr>
            <b/>
            <sz val="9"/>
            <color indexed="81"/>
            <rFont val="Calibri"/>
            <family val="2"/>
          </rPr>
          <t>Jacqui Eales:</t>
        </r>
        <r>
          <rPr>
            <sz val="9"/>
            <color indexed="81"/>
            <rFont val="Calibri"/>
            <family val="2"/>
          </rPr>
          <t xml:space="preserve">
changed to 1 y because study duration was &lt;1y</t>
        </r>
      </text>
    </comment>
    <comment ref="AV110" authorId="0">
      <text>
        <r>
          <rPr>
            <b/>
            <sz val="9"/>
            <color indexed="81"/>
            <rFont val="Calibri"/>
            <family val="2"/>
          </rPr>
          <t>Jacqui Eales:</t>
        </r>
        <r>
          <rPr>
            <sz val="9"/>
            <color indexed="81"/>
            <rFont val="Calibri"/>
            <family val="2"/>
          </rPr>
          <t xml:space="preserve">
changed to 1 y because study duration was &lt;1y</t>
        </r>
      </text>
    </comment>
    <comment ref="AV111" authorId="0">
      <text>
        <r>
          <rPr>
            <b/>
            <sz val="9"/>
            <color indexed="81"/>
            <rFont val="Calibri"/>
            <family val="2"/>
          </rPr>
          <t>Jacqui Eales:</t>
        </r>
        <r>
          <rPr>
            <sz val="9"/>
            <color indexed="81"/>
            <rFont val="Calibri"/>
            <family val="2"/>
          </rPr>
          <t xml:space="preserve">
changed to 1 y because study duration was &lt;1y</t>
        </r>
      </text>
    </comment>
    <comment ref="AV112" authorId="0">
      <text>
        <r>
          <rPr>
            <b/>
            <sz val="9"/>
            <color indexed="81"/>
            <rFont val="Calibri"/>
            <family val="2"/>
          </rPr>
          <t>Jacqui Eales:</t>
        </r>
        <r>
          <rPr>
            <sz val="9"/>
            <color indexed="81"/>
            <rFont val="Calibri"/>
            <family val="2"/>
          </rPr>
          <t xml:space="preserve">
changed to 1 y because study duration was &lt;1y</t>
        </r>
      </text>
    </comment>
    <comment ref="AV113" authorId="0">
      <text>
        <r>
          <rPr>
            <b/>
            <sz val="9"/>
            <color indexed="81"/>
            <rFont val="Calibri"/>
            <family val="2"/>
          </rPr>
          <t>Jacqui Eales:</t>
        </r>
        <r>
          <rPr>
            <sz val="9"/>
            <color indexed="81"/>
            <rFont val="Calibri"/>
            <family val="2"/>
          </rPr>
          <t xml:space="preserve">
changed to 1 y because study duration was &lt;1y</t>
        </r>
      </text>
    </comment>
    <comment ref="CN114" authorId="0">
      <text>
        <r>
          <rPr>
            <b/>
            <sz val="9"/>
            <color indexed="81"/>
            <rFont val="Calibri"/>
            <family val="2"/>
          </rPr>
          <t>Jacqui Eales:</t>
        </r>
        <r>
          <rPr>
            <sz val="9"/>
            <color indexed="81"/>
            <rFont val="Calibri"/>
            <family val="2"/>
          </rPr>
          <t xml:space="preserve">
changed from 45. The authors state that traps were pooled per plot in the analysis methods</t>
        </r>
      </text>
    </comment>
    <comment ref="BE119" authorId="0">
      <text>
        <r>
          <rPr>
            <b/>
            <sz val="9"/>
            <color indexed="81"/>
            <rFont val="Calibri"/>
            <family val="2"/>
          </rPr>
          <t>Jacqui Eales:</t>
        </r>
        <r>
          <rPr>
            <sz val="9"/>
            <color indexed="81"/>
            <rFont val="Calibri"/>
            <family val="2"/>
          </rPr>
          <t xml:space="preserve">
Diversity is also reported as  Simpsons index, we have chosen to use Shannons</t>
        </r>
      </text>
    </comment>
    <comment ref="AT133" authorId="0">
      <text>
        <r>
          <rPr>
            <b/>
            <sz val="9"/>
            <color indexed="81"/>
            <rFont val="Calibri"/>
            <family val="2"/>
          </rPr>
          <t>Jacqui Eales:</t>
        </r>
        <r>
          <rPr>
            <sz val="9"/>
            <color indexed="81"/>
            <rFont val="Calibri"/>
            <family val="2"/>
          </rPr>
          <t xml:space="preserve">
changed from 112- 12 quadrats for each of the 3 plots. 112 was the number of soil samples- not used for our data</t>
        </r>
      </text>
    </comment>
    <comment ref="BB133" authorId="0">
      <text>
        <r>
          <rPr>
            <b/>
            <sz val="9"/>
            <color indexed="81"/>
            <rFont val="Calibri"/>
            <family val="2"/>
          </rPr>
          <t>Jacqui Eales:</t>
        </r>
        <r>
          <rPr>
            <sz val="9"/>
            <color indexed="81"/>
            <rFont val="Calibri"/>
            <family val="2"/>
          </rPr>
          <t xml:space="preserve">
changed as for intervention</t>
        </r>
      </text>
    </comment>
    <comment ref="BK133" authorId="0">
      <text>
        <r>
          <rPr>
            <b/>
            <sz val="9"/>
            <color indexed="81"/>
            <rFont val="Calibri"/>
            <family val="2"/>
          </rPr>
          <t>Jacqui Eales:</t>
        </r>
        <r>
          <rPr>
            <sz val="9"/>
            <color indexed="81"/>
            <rFont val="Calibri"/>
            <family val="2"/>
          </rPr>
          <t xml:space="preserve">
changed to reflect our analysis- we are using 2003 data</t>
        </r>
      </text>
    </comment>
    <comment ref="BX136" authorId="0">
      <text>
        <r>
          <rPr>
            <b/>
            <sz val="9"/>
            <color indexed="81"/>
            <rFont val="Calibri"/>
            <family val="2"/>
          </rPr>
          <t>Jacqui Eales:</t>
        </r>
        <r>
          <rPr>
            <sz val="9"/>
            <color indexed="81"/>
            <rFont val="Calibri"/>
            <family val="2"/>
          </rPr>
          <t xml:space="preserve">
changed from 128</t>
        </r>
      </text>
    </comment>
    <comment ref="CF136" authorId="0">
      <text>
        <r>
          <rPr>
            <b/>
            <sz val="9"/>
            <color indexed="81"/>
            <rFont val="Calibri"/>
            <family val="2"/>
          </rPr>
          <t>Jacqui Eales:</t>
        </r>
        <r>
          <rPr>
            <sz val="9"/>
            <color indexed="81"/>
            <rFont val="Calibri"/>
            <family val="2"/>
          </rPr>
          <t xml:space="preserve">
changed from higher number
</t>
        </r>
      </text>
    </comment>
    <comment ref="AV143" authorId="0">
      <text>
        <r>
          <rPr>
            <b/>
            <sz val="9"/>
            <color indexed="81"/>
            <rFont val="Calibri"/>
            <family val="2"/>
          </rPr>
          <t>Jacqui Eales:</t>
        </r>
        <r>
          <rPr>
            <sz val="9"/>
            <color indexed="81"/>
            <rFont val="Calibri"/>
            <family val="2"/>
          </rPr>
          <t xml:space="preserve">
changed to 1 y because study duration was &lt;1y</t>
        </r>
      </text>
    </comment>
    <comment ref="AV144" authorId="0">
      <text>
        <r>
          <rPr>
            <b/>
            <sz val="9"/>
            <color indexed="81"/>
            <rFont val="Calibri"/>
            <family val="2"/>
          </rPr>
          <t>Jacqui Eales:</t>
        </r>
        <r>
          <rPr>
            <sz val="9"/>
            <color indexed="81"/>
            <rFont val="Calibri"/>
            <family val="2"/>
          </rPr>
          <t xml:space="preserve">
changed to 1 y because study duration was &lt;1y</t>
        </r>
      </text>
    </comment>
    <comment ref="AV145" authorId="0">
      <text>
        <r>
          <rPr>
            <b/>
            <sz val="9"/>
            <color indexed="81"/>
            <rFont val="Calibri"/>
            <family val="2"/>
          </rPr>
          <t>Jacqui Eales:</t>
        </r>
        <r>
          <rPr>
            <sz val="9"/>
            <color indexed="81"/>
            <rFont val="Calibri"/>
            <family val="2"/>
          </rPr>
          <t xml:space="preserve">
changed to 1 y because study duration was &lt;1y</t>
        </r>
      </text>
    </comment>
    <comment ref="AV146" authorId="0">
      <text>
        <r>
          <rPr>
            <b/>
            <sz val="9"/>
            <color indexed="81"/>
            <rFont val="Calibri"/>
            <family val="2"/>
          </rPr>
          <t>Jacqui Eales:</t>
        </r>
        <r>
          <rPr>
            <sz val="9"/>
            <color indexed="81"/>
            <rFont val="Calibri"/>
            <family val="2"/>
          </rPr>
          <t xml:space="preserve">
changed to 1 y because study duration was &lt;1y</t>
        </r>
      </text>
    </comment>
    <comment ref="AV149" authorId="0">
      <text>
        <r>
          <rPr>
            <b/>
            <sz val="9"/>
            <color indexed="81"/>
            <rFont val="Calibri"/>
            <family val="2"/>
          </rPr>
          <t>Jacqui Eales:</t>
        </r>
        <r>
          <rPr>
            <sz val="9"/>
            <color indexed="81"/>
            <rFont val="Calibri"/>
            <family val="2"/>
          </rPr>
          <t xml:space="preserve">
changed to 1 y because study duration was &lt;1y</t>
        </r>
      </text>
    </comment>
    <comment ref="AV152" authorId="0">
      <text>
        <r>
          <rPr>
            <b/>
            <sz val="9"/>
            <color indexed="81"/>
            <rFont val="Calibri"/>
            <family val="2"/>
          </rPr>
          <t>Jacqui Eales:</t>
        </r>
        <r>
          <rPr>
            <sz val="9"/>
            <color indexed="81"/>
            <rFont val="Calibri"/>
            <family val="2"/>
          </rPr>
          <t xml:space="preserve">
changed to 1 y because study duration was &lt;1y</t>
        </r>
      </text>
    </comment>
    <comment ref="X172" authorId="0">
      <text>
        <r>
          <rPr>
            <b/>
            <sz val="9"/>
            <color indexed="81"/>
            <rFont val="Calibri"/>
            <family val="2"/>
          </rPr>
          <t>Jacqui Eales:</t>
        </r>
        <r>
          <rPr>
            <sz val="9"/>
            <color indexed="81"/>
            <rFont val="Calibri"/>
            <family val="2"/>
          </rPr>
          <t xml:space="preserve">
From Greenberg et al 2016</t>
        </r>
      </text>
    </comment>
    <comment ref="AV174" authorId="0">
      <text>
        <r>
          <rPr>
            <b/>
            <sz val="9"/>
            <color indexed="81"/>
            <rFont val="Calibri"/>
            <family val="2"/>
          </rPr>
          <t>Jacqui Eales:</t>
        </r>
        <r>
          <rPr>
            <sz val="9"/>
            <color indexed="81"/>
            <rFont val="Calibri"/>
            <family val="2"/>
          </rPr>
          <t xml:space="preserve">
changed to 1 y because study duration was &lt;1y</t>
        </r>
      </text>
    </comment>
    <comment ref="AV176" authorId="0">
      <text>
        <r>
          <rPr>
            <b/>
            <sz val="9"/>
            <color indexed="81"/>
            <rFont val="Calibri"/>
            <family val="2"/>
          </rPr>
          <t>Jacqui Eales:</t>
        </r>
        <r>
          <rPr>
            <sz val="9"/>
            <color indexed="81"/>
            <rFont val="Calibri"/>
            <family val="2"/>
          </rPr>
          <t xml:space="preserve">
changed to 1 y because study duration was &lt;1y</t>
        </r>
      </text>
    </comment>
    <comment ref="AV177" authorId="0">
      <text>
        <r>
          <rPr>
            <b/>
            <sz val="9"/>
            <color indexed="81"/>
            <rFont val="Calibri"/>
            <family val="2"/>
          </rPr>
          <t>Jacqui Eales:</t>
        </r>
        <r>
          <rPr>
            <sz val="9"/>
            <color indexed="81"/>
            <rFont val="Calibri"/>
            <family val="2"/>
          </rPr>
          <t xml:space="preserve">
changed to 1 y because study duration was &lt;1y</t>
        </r>
      </text>
    </comment>
    <comment ref="BE183" authorId="0">
      <text>
        <r>
          <rPr>
            <b/>
            <sz val="9"/>
            <color indexed="81"/>
            <rFont val="Calibri"/>
            <family val="2"/>
          </rPr>
          <t>Jacqui Eales:</t>
        </r>
        <r>
          <rPr>
            <sz val="9"/>
            <color indexed="81"/>
            <rFont val="Calibri"/>
            <family val="2"/>
          </rPr>
          <t xml:space="preserve">
Diversity is also reported as  Simpsons index, we have chosen to use Shannons</t>
        </r>
      </text>
    </comment>
    <comment ref="AV199" authorId="0">
      <text>
        <r>
          <rPr>
            <b/>
            <sz val="9"/>
            <color indexed="81"/>
            <rFont val="Calibri"/>
            <family val="2"/>
          </rPr>
          <t>Jacqui Eales:</t>
        </r>
        <r>
          <rPr>
            <sz val="9"/>
            <color indexed="81"/>
            <rFont val="Calibri"/>
            <family val="2"/>
          </rPr>
          <t xml:space="preserve">
changed to 1 y because study duration was &lt;1y</t>
        </r>
      </text>
    </comment>
    <comment ref="AV210" authorId="0">
      <text>
        <r>
          <rPr>
            <b/>
            <sz val="9"/>
            <color indexed="81"/>
            <rFont val="Calibri"/>
            <family val="2"/>
          </rPr>
          <t>Jacqui Eales:</t>
        </r>
        <r>
          <rPr>
            <sz val="9"/>
            <color indexed="81"/>
            <rFont val="Calibri"/>
            <family val="2"/>
          </rPr>
          <t xml:space="preserve">
changed to 1 y because study duration was &lt;1y</t>
        </r>
      </text>
    </comment>
    <comment ref="AV211" authorId="0">
      <text>
        <r>
          <rPr>
            <b/>
            <sz val="9"/>
            <color indexed="81"/>
            <rFont val="Calibri"/>
            <family val="2"/>
          </rPr>
          <t>Jacqui Eales:</t>
        </r>
        <r>
          <rPr>
            <sz val="9"/>
            <color indexed="81"/>
            <rFont val="Calibri"/>
            <family val="2"/>
          </rPr>
          <t xml:space="preserve">
changed to 1 y because study duration was &lt;1y</t>
        </r>
      </text>
    </comment>
    <comment ref="AV212" authorId="0">
      <text>
        <r>
          <rPr>
            <b/>
            <sz val="9"/>
            <color indexed="81"/>
            <rFont val="Calibri"/>
            <family val="2"/>
          </rPr>
          <t>Jacqui Eales:</t>
        </r>
        <r>
          <rPr>
            <sz val="9"/>
            <color indexed="81"/>
            <rFont val="Calibri"/>
            <family val="2"/>
          </rPr>
          <t xml:space="preserve">
changed to 1 y because study duration was &lt;1y</t>
        </r>
      </text>
    </comment>
    <comment ref="AV213" authorId="0">
      <text>
        <r>
          <rPr>
            <b/>
            <sz val="9"/>
            <color indexed="81"/>
            <rFont val="Calibri"/>
            <family val="2"/>
          </rPr>
          <t>Jacqui Eales:</t>
        </r>
        <r>
          <rPr>
            <sz val="9"/>
            <color indexed="81"/>
            <rFont val="Calibri"/>
            <family val="2"/>
          </rPr>
          <t xml:space="preserve">
changed to 1 y because study duration was &lt;1y</t>
        </r>
      </text>
    </comment>
    <comment ref="AV214" authorId="0">
      <text>
        <r>
          <rPr>
            <b/>
            <sz val="9"/>
            <color indexed="81"/>
            <rFont val="Calibri"/>
            <family val="2"/>
          </rPr>
          <t>Jacqui Eales:</t>
        </r>
        <r>
          <rPr>
            <sz val="9"/>
            <color indexed="81"/>
            <rFont val="Calibri"/>
            <family val="2"/>
          </rPr>
          <t xml:space="preserve">
changed to 1 y because study duration was &lt;1y</t>
        </r>
      </text>
    </comment>
    <comment ref="AV215" authorId="0">
      <text>
        <r>
          <rPr>
            <b/>
            <sz val="9"/>
            <color indexed="81"/>
            <rFont val="Calibri"/>
            <family val="2"/>
          </rPr>
          <t>Jacqui Eales:</t>
        </r>
        <r>
          <rPr>
            <sz val="9"/>
            <color indexed="81"/>
            <rFont val="Calibri"/>
            <family val="2"/>
          </rPr>
          <t xml:space="preserve">
changed to 1 y because study duration was &lt;1y</t>
        </r>
      </text>
    </comment>
    <comment ref="AV216" authorId="0">
      <text>
        <r>
          <rPr>
            <b/>
            <sz val="9"/>
            <color indexed="81"/>
            <rFont val="Calibri"/>
            <family val="2"/>
          </rPr>
          <t>Jacqui Eales:</t>
        </r>
        <r>
          <rPr>
            <sz val="9"/>
            <color indexed="81"/>
            <rFont val="Calibri"/>
            <family val="2"/>
          </rPr>
          <t xml:space="preserve">
changed to 1 y because study duration was &lt;1y</t>
        </r>
      </text>
    </comment>
    <comment ref="AV217" authorId="0">
      <text>
        <r>
          <rPr>
            <b/>
            <sz val="9"/>
            <color indexed="81"/>
            <rFont val="Calibri"/>
            <family val="2"/>
          </rPr>
          <t>Jacqui Eales:</t>
        </r>
        <r>
          <rPr>
            <sz val="9"/>
            <color indexed="81"/>
            <rFont val="Calibri"/>
            <family val="2"/>
          </rPr>
          <t xml:space="preserve">
changed to 1 y because study duration was &lt;1y</t>
        </r>
      </text>
    </comment>
  </commentList>
</comments>
</file>

<file path=xl/sharedStrings.xml><?xml version="1.0" encoding="utf-8"?>
<sst xmlns="http://schemas.openxmlformats.org/spreadsheetml/2006/main" count="13904" uniqueCount="2339">
  <si>
    <t>Category</t>
  </si>
  <si>
    <t>answer 'yes' if the study fully meets the criterion</t>
  </si>
  <si>
    <t>answer 'partly' if the study largely meets the criterion but differs in some important respect</t>
  </si>
  <si>
    <t>answer 'no' if the study deviates substantively from the criterion</t>
  </si>
  <si>
    <t>answer 'unclear' if the report provides insufficient information to judge whether the study complies with the criterion</t>
  </si>
  <si>
    <t>answer 'NA (not applicable)' if the criterion is not relevant in a particular instance.</t>
  </si>
  <si>
    <t>Selection bias</t>
  </si>
  <si>
    <t>Performance bias</t>
  </si>
  <si>
    <t>Lacking any information/description of burn</t>
  </si>
  <si>
    <t>N/A if BA site and before measurement taken immediately prior to burning</t>
  </si>
  <si>
    <t xml:space="preserve">BACI study </t>
  </si>
  <si>
    <t>Study design (control)</t>
  </si>
  <si>
    <t>Study design (replication)</t>
  </si>
  <si>
    <t>Lacking sufficient information to judge</t>
  </si>
  <si>
    <t>Blodgett Forest Research Station</t>
  </si>
  <si>
    <t>California</t>
  </si>
  <si>
    <t>USA</t>
  </si>
  <si>
    <t>Unlikely well-matched</t>
  </si>
  <si>
    <t>BACI</t>
  </si>
  <si>
    <t>37-59</t>
  </si>
  <si>
    <t>Forest Ecology and Management</t>
  </si>
  <si>
    <t>mean</t>
  </si>
  <si>
    <t>SD</t>
  </si>
  <si>
    <t>circular plot complete sampling</t>
  </si>
  <si>
    <t>The study period (1995–2003) encompasses an above average
wet period (1995–1998) and a drought period (2001–2002)</t>
  </si>
  <si>
    <t>Unit</t>
  </si>
  <si>
    <t>Taxon</t>
  </si>
  <si>
    <t>Site/area</t>
  </si>
  <si>
    <t>State/province</t>
  </si>
  <si>
    <t>Country</t>
  </si>
  <si>
    <t>Pages</t>
  </si>
  <si>
    <t>Volume</t>
  </si>
  <si>
    <t>Journal</t>
  </si>
  <si>
    <t>Year</t>
  </si>
  <si>
    <t>Title</t>
  </si>
  <si>
    <t>Reviewer</t>
  </si>
  <si>
    <t>Comparator</t>
  </si>
  <si>
    <t>Yes</t>
  </si>
  <si>
    <t>Summary RoB</t>
  </si>
  <si>
    <t>1243-1452</t>
  </si>
  <si>
    <t>Table 3</t>
  </si>
  <si>
    <t>Prescribed fires and retention trees help to conserve beetle diversity in managed boreal forests despite their transient negative effects on some beetle groups</t>
  </si>
  <si>
    <t>Insect Conservation and Diversity</t>
  </si>
  <si>
    <t>93-105</t>
  </si>
  <si>
    <t>Finland</t>
  </si>
  <si>
    <t>North Karelia</t>
  </si>
  <si>
    <t>Lieksa and Ilomantsi</t>
  </si>
  <si>
    <t>63.17 N</t>
  </si>
  <si>
    <t>Site coordinates from Hyvärinen et al. (2005)</t>
  </si>
  <si>
    <t>Coniferous</t>
  </si>
  <si>
    <t>Flight interception traps</t>
  </si>
  <si>
    <t>Fig 1</t>
  </si>
  <si>
    <t>Only using data from unharvested control sites</t>
  </si>
  <si>
    <t>well matched</t>
  </si>
  <si>
    <t>Summary</t>
  </si>
  <si>
    <t>A BACI study in coniferous forest in North Karelia, Finland between 2000-2002 aimed to responses of different ecological groups of beetles  to forest management actions (prescribed fire and amount of retention trees) aimed at maintaining beetle diversity in managed forests, and whether positive species richness responses previously observed are maintained over two years post treatment.</t>
  </si>
  <si>
    <t>A BACI study from 1995-2003 in California, USA of the effects of a prescribed fire on mixed forest in riparian vegetation, large woody debris, sediment, water chemistry, periphyton and benthic macroinvertebrates.</t>
  </si>
  <si>
    <t>Fuel-reduction treatment effects on avian community structure and diversity</t>
  </si>
  <si>
    <t>Journal of Wildlife Management</t>
  </si>
  <si>
    <t>1168-1174</t>
  </si>
  <si>
    <t>A BACI study in coniferous forest in Arizona, USA between May and July 2000-2006 aimed to quantify changes in avian diversity responses to forest fuel
reduction treatments and to more
closely evaluate the population-level response of several common species.</t>
  </si>
  <si>
    <t>Arizona</t>
  </si>
  <si>
    <t>Published site coordinates incorrect</t>
  </si>
  <si>
    <t>2193 (mean)</t>
  </si>
  <si>
    <t>NR</t>
  </si>
  <si>
    <t>35.2 N</t>
  </si>
  <si>
    <t>111.75-112.0 W</t>
  </si>
  <si>
    <t>Likely well matched</t>
  </si>
  <si>
    <t>10ha</t>
  </si>
  <si>
    <t>Birds</t>
  </si>
  <si>
    <t>Point count</t>
  </si>
  <si>
    <t>Fig 2</t>
  </si>
  <si>
    <t>Burn</t>
  </si>
  <si>
    <t>Medium validity</t>
  </si>
  <si>
    <t>Low validity</t>
  </si>
  <si>
    <t>26ha</t>
  </si>
  <si>
    <t>3-5ha</t>
  </si>
  <si>
    <t>16-30ha</t>
  </si>
  <si>
    <t>BA study or CI study</t>
  </si>
  <si>
    <t xml:space="preserve">Outcome </t>
  </si>
  <si>
    <t>Unburn</t>
  </si>
  <si>
    <t>SE</t>
  </si>
  <si>
    <t>Partly typical of a precribed burn in one (or more) aspect/s but not in others</t>
  </si>
  <si>
    <t>RoB for separate outcomes</t>
  </si>
  <si>
    <t>FIRE</t>
  </si>
  <si>
    <t>1</t>
  </si>
  <si>
    <t>Randomised not blocked</t>
  </si>
  <si>
    <t>Randomised and blocked</t>
  </si>
  <si>
    <t>low/moderate</t>
  </si>
  <si>
    <t>shrubs, herbaceous plants</t>
  </si>
  <si>
    <t>40m2</t>
  </si>
  <si>
    <t>Well-matched</t>
  </si>
  <si>
    <t>Likely well-matched</t>
  </si>
  <si>
    <t>Biodiversity and/or restoration</t>
  </si>
  <si>
    <t>Low/moderate</t>
  </si>
  <si>
    <t>High</t>
  </si>
  <si>
    <t>No</t>
  </si>
  <si>
    <t>Mixed</t>
  </si>
  <si>
    <t>Moderately logged</t>
  </si>
  <si>
    <t>Heavily logged</t>
  </si>
  <si>
    <t>Outcome</t>
  </si>
  <si>
    <t>CI</t>
  </si>
  <si>
    <t>BA</t>
  </si>
  <si>
    <t>Not burnt in last 50y</t>
  </si>
  <si>
    <t>11-16</t>
  </si>
  <si>
    <t>Systematic</t>
  </si>
  <si>
    <t>Representative</t>
  </si>
  <si>
    <t>Partly representative</t>
  </si>
  <si>
    <t>329.33 W</t>
  </si>
  <si>
    <t xml:space="preserve">Yes </t>
  </si>
  <si>
    <t>Vasc</t>
  </si>
  <si>
    <t>Bird</t>
  </si>
  <si>
    <t>Tree</t>
  </si>
  <si>
    <t>Lich</t>
  </si>
  <si>
    <t>Lichens</t>
  </si>
  <si>
    <t>Fung</t>
  </si>
  <si>
    <t>Mamm</t>
  </si>
  <si>
    <t>Rept</t>
  </si>
  <si>
    <t>Ins</t>
  </si>
  <si>
    <t>Arth</t>
  </si>
  <si>
    <t>Inver</t>
  </si>
  <si>
    <t>Nativ</t>
  </si>
  <si>
    <t>DivS</t>
  </si>
  <si>
    <t>DivO</t>
  </si>
  <si>
    <t>RichS</t>
  </si>
  <si>
    <t>JE</t>
  </si>
  <si>
    <t>Effects of prescribed burning on distribution and abundance of birds in a closed-canopy oak-dominated forest, Missouri, USA</t>
  </si>
  <si>
    <t>Biological Conservation</t>
  </si>
  <si>
    <t>519-531</t>
  </si>
  <si>
    <t>A CI study between 1996-2002 in  broadleaf forest in Missouri, USA aimed to assess the preliminary impact of prescribed biennial forest understory burning on abundance and species composition of birds</t>
  </si>
  <si>
    <t>Missouri</t>
  </si>
  <si>
    <t>Cuivre River State Park</t>
  </si>
  <si>
    <t>39.0 N</t>
  </si>
  <si>
    <t>90.9 W</t>
  </si>
  <si>
    <t>Heavily logged in last 50y</t>
  </si>
  <si>
    <t>Moderately logged in last 50y</t>
  </si>
  <si>
    <t>Lightly disturbed in last 50y</t>
  </si>
  <si>
    <t>Undisturbed in last 50y</t>
  </si>
  <si>
    <t>Effects of prescribed fire on a Sierra Nevada (California, USA) stream and its riparian zone</t>
  </si>
  <si>
    <t>Purposive treatment allocation that clearly does not account for spatial heterogeneity AND/OR Do not match</t>
  </si>
  <si>
    <t>Subject to confounders with major impact on outcome (such that outcomes are not clearly the effect of the intervention)</t>
  </si>
  <si>
    <t>Some confounders present, likely to have moderate impact on outcome</t>
  </si>
  <si>
    <t>Outcome measure method was partly appropriate and reliable</t>
  </si>
  <si>
    <t>Confounding factors likely to be minimal,  were minimised or lacking</t>
  </si>
  <si>
    <t>Partly (comparator sites were different to each other and the intervention site)</t>
  </si>
  <si>
    <t>5-7</t>
  </si>
  <si>
    <t>108-156</t>
  </si>
  <si>
    <t>Fig 3</t>
  </si>
  <si>
    <t>Yes (8%)</t>
  </si>
  <si>
    <t xml:space="preserve">Spatial heterogeneity not fully accounted for i.e partial randomisation/blocking/stratification OR Moderately matched </t>
  </si>
  <si>
    <t>Treatment allocation (multiple burn)  or replication (within a single burn) accounts for spatial heterogenity i.e. appropriately randomised, randomised and blocked or stratified OR Stated/clear attempt at matching OR highly likely to be similar</t>
  </si>
  <si>
    <t xml:space="preserve">Intervention </t>
  </si>
  <si>
    <t>External validity</t>
  </si>
  <si>
    <t>60m radius plots</t>
  </si>
  <si>
    <t>Canada</t>
  </si>
  <si>
    <t>Alberta</t>
  </si>
  <si>
    <t>Purposive/likely purposive</t>
  </si>
  <si>
    <t>Shannon diversity index</t>
  </si>
  <si>
    <t>Quadrats</t>
  </si>
  <si>
    <t>Table 2</t>
  </si>
  <si>
    <t>Partly (CI)</t>
  </si>
  <si>
    <t>yes</t>
  </si>
  <si>
    <t>Australia</t>
  </si>
  <si>
    <t>Medium (unclear) validity</t>
  </si>
  <si>
    <t>High validity</t>
  </si>
  <si>
    <t>Degree of  replication appropriate and representative? (to outcome measure)</t>
  </si>
  <si>
    <t xml:space="preserve">Intervention was likely appropriately and realistically applied? </t>
  </si>
  <si>
    <t>Outcome measure method was appropriate?</t>
  </si>
  <si>
    <t>N/a (not eligible according to inclusion criteria)</t>
  </si>
  <si>
    <t>Comments: e.g. external validity: study population (in particular) is not generalisable to temperate or boreal forest</t>
  </si>
  <si>
    <t>Did the study have an temporal and/or spatial control?</t>
  </si>
  <si>
    <t>A reliable or standard measurement method for the outcome, and at a seasonal, temporal and  spatial scale that is likely to capture any impact of the intervention on the outcome</t>
  </si>
  <si>
    <t>Unclear (not reported how burned/unburned areas were allocated and whether representative)</t>
  </si>
  <si>
    <t>Canadian Journal of Forest Research</t>
  </si>
  <si>
    <t>1442-1454</t>
  </si>
  <si>
    <t>A CI study in coniferous forest in Alberta, Canada between 2000-2001 aimed to assess the impact of various harvesting practices (including those designed to emulate natural
disturbances) on ectomycorrhizae (ECM) associated with white spruce.</t>
  </si>
  <si>
    <t>EMEND experimental area</t>
  </si>
  <si>
    <t>Ecosystem Management by Emulating Natural Disturbance (EMEND)</t>
  </si>
  <si>
    <t>56.73 N</t>
  </si>
  <si>
    <t>118.33 W</t>
  </si>
  <si>
    <t>high</t>
  </si>
  <si>
    <t>3</t>
  </si>
  <si>
    <t>No. of spp</t>
  </si>
  <si>
    <t>30m transect</t>
  </si>
  <si>
    <t>Soil core</t>
  </si>
  <si>
    <t>12</t>
  </si>
  <si>
    <t>Figure 2</t>
  </si>
  <si>
    <t>The effects of green tree retention and subsequent prescribed burning on ground beetles (Coleoptera: Carabidae) in boreal pine-dominated forests</t>
  </si>
  <si>
    <t>Ecography</t>
  </si>
  <si>
    <t>659-670</t>
  </si>
  <si>
    <t>A CI study in coniferous forest in North Karelia, Finland, between May and Sept 2002, aimed to explore how the assemblages of carabid beetles differ in burned and unburned clearcuts and forests, how retained trees affect occurrence of species in the harvested areas and whether environmental variables measured around the traps can explain the activity- abundance of carabid species.</t>
  </si>
  <si>
    <t>Pitfall</t>
  </si>
  <si>
    <t>12-16</t>
  </si>
  <si>
    <t>4</t>
  </si>
  <si>
    <t>Figure 2c</t>
  </si>
  <si>
    <t>Yes (25%)</t>
  </si>
  <si>
    <t>Toivanen and Kotiaho (2007)</t>
  </si>
  <si>
    <t>Mimicking natural disturbances of boreal forests: The effects of controlled burning and creating dead wood on beetle diversity</t>
  </si>
  <si>
    <t>Biodiversity and Conservation</t>
  </si>
  <si>
    <t>3193-3211</t>
  </si>
  <si>
    <t>A CI study in coniferous forest in Finland, from May-Sept 2003, to determine how burning and increasing the volume of dead wood affect the overall beetle diversity and species assemblages, the occurrence of saproxylic, rare or red-listed beetle species and to
evaluate whether the restoration practices are useful in the conservation of these species.</t>
  </si>
  <si>
    <t>Päijänne Tavastia; Tavastia Proper</t>
  </si>
  <si>
    <t>Evo and Vesijako</t>
  </si>
  <si>
    <t>EVO experiment, FIRE project</t>
  </si>
  <si>
    <t>61.18 N</t>
  </si>
  <si>
    <t>100-150</t>
  </si>
  <si>
    <t>2ha</t>
  </si>
  <si>
    <t>5</t>
  </si>
  <si>
    <t>2 ha</t>
  </si>
  <si>
    <t>Flight intercept traps</t>
  </si>
  <si>
    <t>9-16</t>
  </si>
  <si>
    <t>Figure 3b</t>
  </si>
  <si>
    <t>2007</t>
  </si>
  <si>
    <t>Wardle and Jonsson (2014)</t>
  </si>
  <si>
    <t>Ecology</t>
  </si>
  <si>
    <t>168</t>
  </si>
  <si>
    <t>Table 1</t>
  </si>
  <si>
    <t>Partly (constrained for two plots)</t>
  </si>
  <si>
    <t>Unclear</t>
  </si>
  <si>
    <t>Litter samples</t>
  </si>
  <si>
    <t>Unclear (lack reporting)</t>
  </si>
  <si>
    <t xml:space="preserve">Single burn with limited sampling within burn; </t>
  </si>
  <si>
    <t xml:space="preserve">A single/small burn area with very limited sampling within burn </t>
  </si>
  <si>
    <t>Outcome measure method was not appropriate or reliable (due to method choice and/or poor analysis of the data)</t>
  </si>
  <si>
    <t>Yes (though treatments not assigned to sites at random, and no further information in linked publications, sites were highly likely to be similar)</t>
  </si>
  <si>
    <t>1 ha</t>
  </si>
  <si>
    <t>10</t>
  </si>
  <si>
    <t>2</t>
  </si>
  <si>
    <t>17</t>
  </si>
  <si>
    <t>Yes (around 20%)</t>
  </si>
  <si>
    <t>3 of all 14 listed morphotypes are corticoid ECM fungi (saproxylic)</t>
  </si>
  <si>
    <t>4m2</t>
  </si>
  <si>
    <t>Understory vegetation response after 30 years of interval prescribed burning in two ponderosa pine sites in northern Arizona, USA</t>
  </si>
  <si>
    <t>2134-2142</t>
  </si>
  <si>
    <t>A CI study in coniferous forest in Arizona, USA in July-August 2007 and 2008 aimed to examine the effects of varying fire-return intervals, fire frequency and time-since-fire on abundance and composition of understory vegetation after 30 years of prescribed burning</t>
  </si>
  <si>
    <t xml:space="preserve">NR </t>
  </si>
  <si>
    <t>No commercial logging. Prescribe burned between 4 and 31 times. Between 1 and 8 years since last fire. Unburned stands had no fire for around 100 years</t>
  </si>
  <si>
    <t>Frequently/severely burnt in last 50y (prior to study)</t>
  </si>
  <si>
    <t>Infrequently/unseverly burnt in last 50y (prior to study)</t>
  </si>
  <si>
    <t>Coconino National Forest (Limestone Flats, Long Valley Experimental Forest)</t>
  </si>
  <si>
    <t>31-32</t>
  </si>
  <si>
    <t>30-31</t>
  </si>
  <si>
    <t>15-16</t>
  </si>
  <si>
    <t>Burning every year</t>
  </si>
  <si>
    <t>Burned every 2 years</t>
  </si>
  <si>
    <t>burned every 4 years</t>
  </si>
  <si>
    <t>burned every 6 years</t>
  </si>
  <si>
    <t>burned every 8 years</t>
  </si>
  <si>
    <t>burned every 10 years</t>
  </si>
  <si>
    <t>at least 360</t>
  </si>
  <si>
    <t>at least 336</t>
  </si>
  <si>
    <t>at least 312</t>
  </si>
  <si>
    <t>at least 288</t>
  </si>
  <si>
    <t>at least 254</t>
  </si>
  <si>
    <t>at least 240</t>
  </si>
  <si>
    <t>at least 348</t>
  </si>
  <si>
    <t>at least 324</t>
  </si>
  <si>
    <t>at least 300</t>
  </si>
  <si>
    <t>at least 276</t>
  </si>
  <si>
    <t>at least 252</t>
  </si>
  <si>
    <t>at least 372</t>
  </si>
  <si>
    <t>Coconino National Forest (Chimney Spring, Fort Valley Experimental Forest)</t>
  </si>
  <si>
    <t>35.3 N</t>
  </si>
  <si>
    <t>111.7 W</t>
  </si>
  <si>
    <t>111.1 W</t>
  </si>
  <si>
    <t>34.6 N</t>
  </si>
  <si>
    <t>Yes (randomised)</t>
  </si>
  <si>
    <t>A National Forest which has undergone management (mistletoe control, selective harvesting, some grazing)</t>
  </si>
  <si>
    <t>Kaibab National Forest (Tusayan Ranger District)</t>
  </si>
  <si>
    <t>35.96 N</t>
  </si>
  <si>
    <t>111.96 W</t>
  </si>
  <si>
    <t>Not grazed since 1997</t>
  </si>
  <si>
    <t>Fuel reduction/fire management</t>
  </si>
  <si>
    <t>5-6</t>
  </si>
  <si>
    <t>12 ha</t>
  </si>
  <si>
    <t>20</t>
  </si>
  <si>
    <t>Not specified</t>
  </si>
  <si>
    <t>Forested islands within lakes, no apparant anthropogenic management</t>
  </si>
  <si>
    <t>Experimental and national forests that appear to have been managed or have had grazing.</t>
  </si>
  <si>
    <t>Managed forests around 80y</t>
  </si>
  <si>
    <t>Selectively cut 50y prior to study, around 150y</t>
  </si>
  <si>
    <t>National forests</t>
  </si>
  <si>
    <t>State park under fire management</t>
  </si>
  <si>
    <t>Research forest</t>
  </si>
  <si>
    <t>Brand (2002)</t>
  </si>
  <si>
    <t>Henning and Dickmann (1996)</t>
  </si>
  <si>
    <t>Peterson and Reich (2008)</t>
  </si>
  <si>
    <t>Metlen and Fiedler (2006)</t>
  </si>
  <si>
    <t>Lombardo and McCarthy (2008)</t>
  </si>
  <si>
    <t>Youngblood et al. (2006)</t>
  </si>
  <si>
    <t>Busse et al. (2000)</t>
  </si>
  <si>
    <t>Niwa and Peck (2002)</t>
  </si>
  <si>
    <t>Casals et al (2016)</t>
  </si>
  <si>
    <t>Castoldi et al (2013)</t>
  </si>
  <si>
    <t>Ducherer et al (2009)</t>
  </si>
  <si>
    <t>Huffman et al (2013)</t>
  </si>
  <si>
    <t>King (2000)</t>
  </si>
  <si>
    <t>Larsen et al (2016)</t>
  </si>
  <si>
    <t>Mattingly et al (2016)</t>
  </si>
  <si>
    <t>Nuzzo et al (1996)</t>
  </si>
  <si>
    <t>Taft et al (1995)</t>
  </si>
  <si>
    <t>Petersen and Drewa (2014)</t>
  </si>
  <si>
    <t>Kirkpatrick et al 2005</t>
  </si>
  <si>
    <t>White (1983)</t>
  </si>
  <si>
    <t>Berk (2007)</t>
  </si>
  <si>
    <t>Crossley et al 1997</t>
  </si>
  <si>
    <t>Huisinga et al. (2005)</t>
  </si>
  <si>
    <t>Lindenmayer et al 2015</t>
  </si>
  <si>
    <t>Trappe et al. (2006)</t>
  </si>
  <si>
    <t>Andersen et al (2009)</t>
  </si>
  <si>
    <t>Foster et al (2015)</t>
  </si>
  <si>
    <t>Myers et al (2015)</t>
  </si>
  <si>
    <t>6</t>
  </si>
  <si>
    <t>Forest reserve</t>
  </si>
  <si>
    <t>National park</t>
  </si>
  <si>
    <t>Effects of fire management practices on butterfly diversity in the forested western United States</t>
  </si>
  <si>
    <t>1-12</t>
  </si>
  <si>
    <t>A CI study in coniferous forest in California and Oregon, USA between June-August in 1998 and 1999 aimed to test the following questions: 1. Does prescribed fire benefit butterflies by
increasing their richness or diversity?
2. Do certain fire management plans (including creation of fuel breaks or burning of riparian areas) have different effects on butterfly richness or diversity? 3. Is the amount of sunlight penetrating to the forest floor a potential mechanism for differing butterfly richness?</t>
  </si>
  <si>
    <t>California; Oregon</t>
  </si>
  <si>
    <t>Yosemite National Park; Rogue River National Forest (Ashland Watershed Reserve)</t>
  </si>
  <si>
    <t>1750-2450</t>
  </si>
  <si>
    <t>900-1450</t>
  </si>
  <si>
    <t>Control sites not burned since 1978</t>
  </si>
  <si>
    <t xml:space="preserve">Visible butterfly counts </t>
  </si>
  <si>
    <t>240m x 20m belt transect</t>
  </si>
  <si>
    <t>between 0-6, 108-120, 120-132, 144-156, 216-228</t>
  </si>
  <si>
    <t xml:space="preserve">between 12-24, 24-36, 36-48, 60-72, 84-96
</t>
  </si>
  <si>
    <t>Each site was sampled 11 times across 2 years</t>
  </si>
  <si>
    <t>Burnt in one of: 1991, 1993, 1995, 1996, and
1997. Each site was sampled 11 times across 2 years</t>
  </si>
  <si>
    <t>Burnt in one of: 1991, 1993, 1995, 1996, and 1997. Each site was sampled 11 times across 2 years</t>
  </si>
  <si>
    <t>Long-term changes in an oak forest's woody understory and herb layer with repeated burning</t>
  </si>
  <si>
    <t>Journal of the Torrey Botanical Society</t>
  </si>
  <si>
    <t>223-237</t>
  </si>
  <si>
    <t xml:space="preserve">A BACI study in Broadleaf forest in Illinois, USA in 1986-1988 and 2002 aimed to ascertain how repeated dormant season burning of an oak forest affected its woody understory vegetation, canopy openness, and ground layer vegetation. </t>
  </si>
  <si>
    <t>Illinois</t>
  </si>
  <si>
    <t>Morton Arboretum (East Woods)</t>
  </si>
  <si>
    <t>41.81 N</t>
  </si>
  <si>
    <t>88.05 W</t>
  </si>
  <si>
    <t>7 ha</t>
  </si>
  <si>
    <t>Partly (number of replicates differed between before and after measures of study)</t>
  </si>
  <si>
    <t>Arboretum, Second-growth , former prairie. Woody species data was not extracted because authors did not clearly report how data was collected i.e. how many replicate plots were used or which types of woody species were included, therefore unable to place within either Tree or Vasc groupings</t>
  </si>
  <si>
    <t>1m2 for post burn; 0.25m for pre-burn</t>
  </si>
  <si>
    <t>Quadrat</t>
  </si>
  <si>
    <t>Unclear (pre-treatment plot design was poorly reported)</t>
  </si>
  <si>
    <t>Bowles et al (2007)</t>
  </si>
  <si>
    <t>Unclear (lacking reporting on treatment allocation and similarity of sites)</t>
  </si>
  <si>
    <t>Arboretum,Second-growth , former prairie.</t>
  </si>
  <si>
    <t>The effect of prescribed burning on epigeic springtails (Insecta: Collembola) of woodland litter</t>
  </si>
  <si>
    <t>American Midland Naturalist</t>
  </si>
  <si>
    <t>383-393</t>
  </si>
  <si>
    <t>A CI study in Broadleaf forest in Illinois, USA from 1987-1998 that has been annually burned for at least 16 years. This study aimed to answer: Does prescribed burning affect species richness in deciduous woodland litter? Are there differences in frequency and density of pringtail species in unburned vs previously burn areas?</t>
  </si>
  <si>
    <t>Table 4</t>
  </si>
  <si>
    <t>Did not extract data from other years because unclear whether this data prepresent "beffore" data- study reporting ius unclear, but Bowles et al (2007) is a study on the same area ans suggests that 1987 data would be "before" data.</t>
  </si>
  <si>
    <t>Geoderma</t>
  </si>
  <si>
    <t>183-184</t>
  </si>
  <si>
    <t>80-91</t>
  </si>
  <si>
    <t xml:space="preserve">A CI study in a broadleaf forest in Illinois, USA, in 2008-2009 after 23 years of low-severity prescribed burns. The study aimed to quantify the prolonged impacts on soil physical, cheical, and biological properties of long-term prescirbed fire. It also aimed to determine if changes in aboveground structural characteristics are related to soil properties in the burned/unburned oak forests. </t>
  </si>
  <si>
    <t>41.82 N</t>
  </si>
  <si>
    <t>Scharenbroch et al (2012)</t>
  </si>
  <si>
    <t>16.6 and 19.8 ha</t>
  </si>
  <si>
    <t>3, 17</t>
  </si>
  <si>
    <t>Plot</t>
  </si>
  <si>
    <t>0.01ha</t>
  </si>
  <si>
    <t>0.001 ha (5m radius)</t>
  </si>
  <si>
    <t>Herbaceous richness</t>
  </si>
  <si>
    <t>1m2</t>
  </si>
  <si>
    <t>Yes (flareups early in study caused crown scorch on some tress,  but fires became less intense and more predictable)</t>
  </si>
  <si>
    <t>Partly (authors recognize small sample size and heterogeneity on plots)</t>
  </si>
  <si>
    <t>Was a plantation forest, planted in 1931, that was harvested for white and jack pine 15 years prior to treatments</t>
  </si>
  <si>
    <t>Vegetative responses to prescribed burning in a mature red pine stand</t>
  </si>
  <si>
    <t>Northern Journal of Applied Forestry</t>
  </si>
  <si>
    <t>140-146</t>
  </si>
  <si>
    <t xml:space="preserve">A CI study in a coniferous forest in Michigan, USA from 1983-1991. The objectives were to 1)assess the effects of a single spring prescribed fire on overstory characteristics and on understory composition and development 2) determine the effects of repeated prescribed fires at 2 and 5 year intervals on overstory characteristics and understory composition </t>
  </si>
  <si>
    <t>Michigan</t>
  </si>
  <si>
    <t>Pigeon River Country State Forest</t>
  </si>
  <si>
    <t>45.2 N</t>
  </si>
  <si>
    <t>84.5 W</t>
  </si>
  <si>
    <t>0.86-1.0ha</t>
  </si>
  <si>
    <t>2 of the 4 control areas are from Block C</t>
  </si>
  <si>
    <t>N</t>
  </si>
  <si>
    <t>1m2 circular subplots</t>
  </si>
  <si>
    <t xml:space="preserve">147 m2 rectangular </t>
  </si>
  <si>
    <t>plot</t>
  </si>
  <si>
    <t>ground vegetation</t>
  </si>
  <si>
    <t>woody understory</t>
  </si>
  <si>
    <t>JJT</t>
  </si>
  <si>
    <t>VascH</t>
  </si>
  <si>
    <t>VascW</t>
  </si>
  <si>
    <t>Understory</t>
  </si>
  <si>
    <t>Y</t>
  </si>
  <si>
    <t>No. of spp/genera</t>
  </si>
  <si>
    <t>RichG/S</t>
  </si>
  <si>
    <t>RichO/F</t>
  </si>
  <si>
    <t>DivG/S</t>
  </si>
  <si>
    <t>DivO/F</t>
  </si>
  <si>
    <t>True replicates are separate plots (20 plots across 2 blocks)</t>
  </si>
  <si>
    <t>Subplot samples (n=3) were pooled (compositied). Three repeated sampling dates. (3 subsamples composited, 3 sampling dates)</t>
  </si>
  <si>
    <t>Subplot samples (n=3) were pooled (compositied). Three repeated sampling dates.  (3 subsamples composited, 3 sampling dates)</t>
  </si>
  <si>
    <t>Swamp oak woodland and forest, previously grazed by domestic livestock and vegetation cleared before designated as a national park</t>
  </si>
  <si>
    <t>Partly (limited sample numbers, different numbers of intervention and control)</t>
  </si>
  <si>
    <t>No (sites may have received other treatments, prior to burning, more than 4 years ago)</t>
  </si>
  <si>
    <t>Partly (controls and intervention were spread across different sites and different years)</t>
  </si>
  <si>
    <t>No (stated that aim was not to create a comprehensive list of plant species or full documentation of total species richness)</t>
  </si>
  <si>
    <t>Boreal forests, c. 150y, non-harvested sites only considered in our review. Low intensity selective cutting in the last 100y before experiment.</t>
  </si>
  <si>
    <t>A CI study  in 2013 in Coniferous forest in Finland aimed to investigate how rentention forestry and prescribed fire affect performance and yield of bilberry and lingonberry and pollination.</t>
  </si>
  <si>
    <t>21</t>
  </si>
  <si>
    <t>Data were pooled across subplots</t>
  </si>
  <si>
    <t>4.33</t>
  </si>
  <si>
    <t>2.60</t>
  </si>
  <si>
    <t>Data provided by authors, mean and SE calculated by JE</t>
  </si>
  <si>
    <t>Data across 21 subplots were pooled.</t>
  </si>
  <si>
    <t>3-4</t>
  </si>
  <si>
    <t>4-5</t>
  </si>
  <si>
    <t>Independent replicates as reported by authors</t>
  </si>
  <si>
    <t>Burn (31-32)</t>
  </si>
  <si>
    <t>Burn (16)</t>
  </si>
  <si>
    <t>Burn (8)</t>
  </si>
  <si>
    <t>Burn (6)</t>
  </si>
  <si>
    <t>Burn (4)</t>
  </si>
  <si>
    <t>Burn (30-31)</t>
  </si>
  <si>
    <t>Burn (15-16)</t>
  </si>
  <si>
    <t>Burn (5-6)</t>
  </si>
  <si>
    <t xml:space="preserve">Burn (4) </t>
  </si>
  <si>
    <t># indep replicates are the number of sample plots x number of control replicates</t>
  </si>
  <si>
    <t># indep replicates is the number of sites. I have not considered the two subplots, measured either side of the stream as independent replicates</t>
  </si>
  <si>
    <t>Jarrah forest of high quality with no recent logging, underwent a regeneration treatment in 1935</t>
  </si>
  <si>
    <t>1984</t>
  </si>
  <si>
    <t>Responses to long-term fire exclusion: physical,
chemical and faunal features of litter and soil in
a Western Australian forest</t>
  </si>
  <si>
    <t>Australian Forestry</t>
  </si>
  <si>
    <t>237-242</t>
  </si>
  <si>
    <t>A CI study in Jarrah forest in Western Australia between 1982 and 1983 assessed the physical and chemical properties of litter and soil of two adjacent stands.</t>
  </si>
  <si>
    <t>Western Australia</t>
  </si>
  <si>
    <t>32.33 S</t>
  </si>
  <si>
    <t>243.17 W</t>
  </si>
  <si>
    <t>Regerneration treatment given in 1935</t>
  </si>
  <si>
    <t>25 ha</t>
  </si>
  <si>
    <t>504</t>
  </si>
  <si>
    <t>plants &lt;1.3m</t>
  </si>
  <si>
    <t>95% CI</t>
  </si>
  <si>
    <t>9</t>
  </si>
  <si>
    <t>Chandler block</t>
  </si>
  <si>
    <t>Partly (likely to be similar, though unclear why treatment and control areas were allocated, control stand is a reserve for scientific studies and was 85ha, burned stand was 25ha)</t>
  </si>
  <si>
    <t>Yes (blocked by site)</t>
  </si>
  <si>
    <t xml:space="preserve">Large state forest parks </t>
  </si>
  <si>
    <t>1291-1299</t>
  </si>
  <si>
    <t>A CI study in a broadleaved forest in Missouri, USA between May and June 2012, compared patterns of observed woody plant beta-diversity and beta-deviations among fire-managed forests and unburned forests with similar edaphic and topographic
gradients after controlling for differences in community size
and the species abundance distribution between landscapes.</t>
  </si>
  <si>
    <t>Ha Ha Tonka State Park and Lake of the Ozarks State Park, Central Ozark region</t>
  </si>
  <si>
    <t>37.97N; 47.30N</t>
  </si>
  <si>
    <t>92.75W; 92.58W</t>
  </si>
  <si>
    <t>Journal of Ecology</t>
  </si>
  <si>
    <t>Disturbance alters beta-diversity but not the relative importance of community assembly mechanisms</t>
  </si>
  <si>
    <t>Emulating natural disturbance in forest management enhances pollination services for dominant Vaccinium shrubs in boreal pine-dominated forests</t>
  </si>
  <si>
    <t>40-260 ha</t>
  </si>
  <si>
    <t>3–5 fires per decade since
1998 (mean = 4 fires per decade).</t>
  </si>
  <si>
    <t>10-12</t>
  </si>
  <si>
    <t>4-7</t>
  </si>
  <si>
    <t>10x 50m</t>
  </si>
  <si>
    <t>24-36</t>
  </si>
  <si>
    <t>all woody plant species ≥2 cm in diameter</t>
  </si>
  <si>
    <t>Fig 1, mean and SE calculated by JE</t>
  </si>
  <si>
    <t xml:space="preserve">JE
</t>
  </si>
  <si>
    <t>True replicates are no of plots x blocks x control area.</t>
  </si>
  <si>
    <t xml:space="preserve">Australian Forestry, </t>
  </si>
  <si>
    <t>58(3)</t>
  </si>
  <si>
    <t>83-98</t>
  </si>
  <si>
    <t>A BACI study in dry Sclerophyll forest of Victoria, Australia, from Mar 1985 to Feb 1989, assessed the  effect of a one-off low intensity prescribed fire in spring or autumn on surface active coleoptera.</t>
  </si>
  <si>
    <t>Victoria</t>
  </si>
  <si>
    <t>Blakeville</t>
  </si>
  <si>
    <t xml:space="preserve">Coleoptera in litter of dry sclerophyll eucalypt forest and the effects of low-intensity prescribed fire on their activity and composition in west-central Victoria. 
</t>
  </si>
  <si>
    <t>37.52 S</t>
  </si>
  <si>
    <t>215.84 W</t>
  </si>
  <si>
    <t>29 sampling dates. Spring burned (Oct 1985)</t>
  </si>
  <si>
    <t>29 sampling dates. Autumn burned (Mar 1987)</t>
  </si>
  <si>
    <t>No (Fire was a prescribed fire that was "intense" and turned into a wildfire. )</t>
  </si>
  <si>
    <t xml:space="preserve">Coniferous forests, part of a national park that have never been commercially harvested. Fire was a prescribed fire that was "intense" and turned into a wildfire. </t>
  </si>
  <si>
    <t>Dry sclerophyll forest 80-100yrs old, not burnt since 1935</t>
  </si>
  <si>
    <t>Table 5. Mean and SE calculated by JE</t>
  </si>
  <si>
    <t xml:space="preserve">No of true replicates was number of blocks </t>
  </si>
  <si>
    <t>unburn</t>
  </si>
  <si>
    <t>Minnesota</t>
  </si>
  <si>
    <t>45.42 N</t>
  </si>
  <si>
    <t>93.17 W</t>
  </si>
  <si>
    <t>14.8-18.2 ha</t>
  </si>
  <si>
    <t>understory</t>
  </si>
  <si>
    <t>Fire frequency and tree canopy structure influence plant species diversity in a forest-grassland ecotone</t>
  </si>
  <si>
    <t>Plant Ecology</t>
  </si>
  <si>
    <t>5-16</t>
  </si>
  <si>
    <t xml:space="preserve">A CI study in a Minnesotta oak savanna after 40 years of varying levels of prescribed fires. The purpose of this study was to assess the combined effects of fire frequency and overstory canopy structure on plant species diversity in terms of species richness and community heterogeneity. </t>
  </si>
  <si>
    <t>Cedar Creek Natural History Area</t>
  </si>
  <si>
    <t>0.375 ha</t>
  </si>
  <si>
    <t>Neill et al (2007)</t>
  </si>
  <si>
    <t>136 (1)</t>
  </si>
  <si>
    <t>17-32</t>
  </si>
  <si>
    <t>A CI study in broadleaf forest in Massachusetts, USA,  (unknown study dates) comparing plant species composition, the proportion of native and nonnative plant species, and soil biogeochemical characteristics across seven dominant land use and vegetation cover types  that differed in previous soil tillage, dominant overstory vegetation and history of recent prescribed fire.</t>
  </si>
  <si>
    <t>Massachusetts</t>
  </si>
  <si>
    <t>Martha's Vineyard</t>
  </si>
  <si>
    <t>20m diameter</t>
  </si>
  <si>
    <t>min 0</t>
  </si>
  <si>
    <t>Species list for plants provided- not checked</t>
  </si>
  <si>
    <t>Partly (BA)</t>
  </si>
  <si>
    <t>N/A</t>
  </si>
  <si>
    <t>High variation in fire intensity, inappropriate for a prescribed fire, not suitable to combine data across variable sites.</t>
  </si>
  <si>
    <t>Yes (described as low to moderate)</t>
  </si>
  <si>
    <t>The response of avian foraging guilds and plant communities to prescribed fire in the ponderosa pine forests of the United States Southwest</t>
  </si>
  <si>
    <t>University of North Carolina at Chapel Hill (thesis)</t>
  </si>
  <si>
    <t>A BACI study 2002-2006  in coniferous mixed forests in Arizona and New Mexico, USA, examining the effects of prescribed fire on bird communities and how changes in forest structure following fire impacts bird communities.</t>
  </si>
  <si>
    <t>Arizona; New Mexico</t>
  </si>
  <si>
    <t>Apache-Sitgreaves, Coconino, Kaibab and Gila National Forests</t>
  </si>
  <si>
    <t>33.60-35.38 N</t>
  </si>
  <si>
    <t>108.47-111.91 W</t>
  </si>
  <si>
    <t>263-404ha</t>
  </si>
  <si>
    <t>29-50</t>
  </si>
  <si>
    <t>Point count using distance sampling</t>
  </si>
  <si>
    <t>36-48</t>
  </si>
  <si>
    <t>3-4 sampling dates in 2006</t>
  </si>
  <si>
    <t>Table 3, mean and SE calculated by JE</t>
  </si>
  <si>
    <t>True replicates was the number of blocks (this was the level at which data was available)</t>
  </si>
  <si>
    <t>Y (9%)</t>
  </si>
  <si>
    <t>5 species were listed as bark foraging and/or cavity nesting</t>
  </si>
  <si>
    <t>Ponderosa pine dominated forests within National Forests. Stand history not provided.</t>
  </si>
  <si>
    <t>Jun</t>
  </si>
  <si>
    <t>May</t>
  </si>
  <si>
    <t>Oct</t>
  </si>
  <si>
    <t>Mar</t>
  </si>
  <si>
    <t>Autumn</t>
  </si>
  <si>
    <t>Apr-May</t>
  </si>
  <si>
    <t>Spring</t>
  </si>
  <si>
    <t>Autumn (usually), spring</t>
  </si>
  <si>
    <t>Jun-Aug</t>
  </si>
  <si>
    <t>Jul</t>
  </si>
  <si>
    <t>Feb-Mar</t>
  </si>
  <si>
    <t>Aug</t>
  </si>
  <si>
    <t>Unclear (similar soils but not clear how treatment was allocated)</t>
  </si>
  <si>
    <t>Reserve of deciduous forest</t>
  </si>
  <si>
    <t>The effects of thirteen years of annual prescribed burning on a Quercus ellipsoidalis community in Minnesota.</t>
  </si>
  <si>
    <t>64 (5)</t>
  </si>
  <si>
    <t xml:space="preserve">1081-1085 </t>
  </si>
  <si>
    <t xml:space="preserve">A CI study in a broadleaf forest in Minnesota, USA from 1965-1979. This study investigates the effectiveness of an annual prescribed burning program designed to restore an oak savanna. </t>
  </si>
  <si>
    <t>light grazing</t>
  </si>
  <si>
    <t>13</t>
  </si>
  <si>
    <t>0.25m2</t>
  </si>
  <si>
    <t>max 8</t>
  </si>
  <si>
    <t>plot (circular)</t>
  </si>
  <si>
    <t>Text, page 1084</t>
  </si>
  <si>
    <t>Yes (Weather and road conditions did not permit burning one year, but authors seperated into two burn treatments to avoid ecological differences)</t>
  </si>
  <si>
    <t>Second growth, upland mixed-oak forest</t>
  </si>
  <si>
    <t>Yes (similar at baseline)</t>
  </si>
  <si>
    <t>Sub-mesic, mixed-oak forest</t>
  </si>
  <si>
    <t>Short-term response of small mammals following oak regeneration silviculture treatments</t>
  </si>
  <si>
    <t>10-16</t>
  </si>
  <si>
    <t xml:space="preserve">A BACI study from 2008-2011 in a broadleaf forest in North Carolina, USA. The study objective was to determine short-term changes to small mammal populations following three oak regeneration practices: prescribed fire, midstory herbicide application, and shelterwood harvest, and a control using pre-treatment (baseline) and post-treatment data. </t>
  </si>
  <si>
    <t>North Carolina</t>
  </si>
  <si>
    <t>Cold Mountain Game Land</t>
  </si>
  <si>
    <t>35.4 N</t>
  </si>
  <si>
    <t>82.9 W</t>
  </si>
  <si>
    <t>Broadleaf</t>
  </si>
  <si>
    <t>Unclear from methods, but states "3 prescribed burns at ~4 year intervals", study only looks BA at last fire</t>
  </si>
  <si>
    <t xml:space="preserve">1 </t>
  </si>
  <si>
    <t>5ha</t>
  </si>
  <si>
    <t>60 traps</t>
  </si>
  <si>
    <t>600m2</t>
  </si>
  <si>
    <t>Sherman live traps</t>
  </si>
  <si>
    <t>RX2 (2009) - 2/5 fires (Data from 2008)</t>
  </si>
  <si>
    <t>Data from 2010</t>
  </si>
  <si>
    <t>6-8 fences</t>
  </si>
  <si>
    <t>Drift fences</t>
  </si>
  <si>
    <t>Data from 2011</t>
  </si>
  <si>
    <t>RX1 (2010) - 3/5 fires (Data from 2008)</t>
  </si>
  <si>
    <t>RX1 (2010) - 3/5 fires(Data from 2008)</t>
  </si>
  <si>
    <t>25m2</t>
  </si>
  <si>
    <t>Diversity based on cover</t>
  </si>
  <si>
    <t>16</t>
  </si>
  <si>
    <t>Burn (1)</t>
  </si>
  <si>
    <t>Burn (2)</t>
  </si>
  <si>
    <t xml:space="preserve">Burn (1) </t>
  </si>
  <si>
    <t>Burn (spring)</t>
  </si>
  <si>
    <t>Burn (autumn)</t>
  </si>
  <si>
    <t>Abundance</t>
  </si>
  <si>
    <t>percent cover</t>
  </si>
  <si>
    <t>abundance</t>
  </si>
  <si>
    <t>N/a</t>
  </si>
  <si>
    <t>Unclear (fire accelerant added- not clear of the impact on wildlife)</t>
  </si>
  <si>
    <t>Experimental forest with fire supression for &gt;100y,  small amount of thinning management</t>
  </si>
  <si>
    <t>Reazin et al (2016)</t>
  </si>
  <si>
    <t>Fires of differing intensities rapidly select distinct soil fungal communities in a Northwest US ponderosa pine forest ecosystem.</t>
  </si>
  <si>
    <t>118-127</t>
  </si>
  <si>
    <t xml:space="preserve">A BA study in a coniferous forest in Oregon, USA in 2013. This study utilized experimental infrastructure to assess the effect of high versus low intensity fires on fungal community responses. </t>
  </si>
  <si>
    <t>Oregon</t>
  </si>
  <si>
    <t>Pringle Falls Experimental Forest</t>
  </si>
  <si>
    <t>N/a (BA study)</t>
  </si>
  <si>
    <t>2mx10m</t>
  </si>
  <si>
    <t>6.35 diameter core (1-10cm)</t>
  </si>
  <si>
    <t xml:space="preserve">True replicates were the number of independent burns </t>
  </si>
  <si>
    <t>Y (c. 10%)</t>
  </si>
  <si>
    <t>used rRNA to identify species (OTUs). 4 species of 43 responded to low intensity burning and were described in discussion as fires respondant.</t>
  </si>
  <si>
    <t>Yes (10 independant burns)</t>
  </si>
  <si>
    <t>mediterranean pine stand, appears to have been planted (1600 trees/ha)</t>
  </si>
  <si>
    <t>Nunes et al (2006)</t>
  </si>
  <si>
    <t>Silva Lusitana</t>
  </si>
  <si>
    <t>14(1)</t>
  </si>
  <si>
    <t>85-100</t>
  </si>
  <si>
    <t xml:space="preserve">A CI study in a coniferous forest in Portugal from 1998-2000. This study investigates the effects of prescribed burning on ground beetles communities in two different habitats that were fire treated. </t>
  </si>
  <si>
    <t>BA data also exists for Plot1, but to include it would be pseudoreplicating (the data is already included in the CI comparisons. No BACI comparison is possible.</t>
  </si>
  <si>
    <t>Portugal</t>
  </si>
  <si>
    <t>Minho</t>
  </si>
  <si>
    <t>feb</t>
  </si>
  <si>
    <t>Plot 2</t>
  </si>
  <si>
    <t>Plot 3</t>
  </si>
  <si>
    <t>12-18</t>
  </si>
  <si>
    <t>pitfall</t>
  </si>
  <si>
    <t>Figure 1</t>
  </si>
  <si>
    <t>mar</t>
  </si>
  <si>
    <t>Plot 1</t>
  </si>
  <si>
    <t>1-6</t>
  </si>
  <si>
    <t xml:space="preserve">Unburn </t>
  </si>
  <si>
    <t>Thinned and understory masticated 2 years before burning</t>
  </si>
  <si>
    <t>National forest, no fires disturbance or logging &gt;50y</t>
  </si>
  <si>
    <t>second growth, upland mixed-oak forests, managed for diverse  wildlife habitat</t>
  </si>
  <si>
    <t>Partly (slightly different method of including woody stems between before and after measurements)</t>
  </si>
  <si>
    <t>136 (1-3)</t>
  </si>
  <si>
    <t>185-197</t>
  </si>
  <si>
    <t>A BA study in 2 confierous forests in Virginia and North Carolina from 1995-1996. The purpose of this study was to evaluate the effects of prescribed burning on 60-80 year old table mountain pine and pitch pine stands.</t>
  </si>
  <si>
    <t>Virginia; North Carolina</t>
  </si>
  <si>
    <t>0.02 ha</t>
  </si>
  <si>
    <t>Table 5</t>
  </si>
  <si>
    <t>0.01 ha</t>
  </si>
  <si>
    <t>Understory shrubs and saplings &lt;2.5cm DBH</t>
  </si>
  <si>
    <t>ground layer</t>
  </si>
  <si>
    <t>Figure 3</t>
  </si>
  <si>
    <t>139-149</t>
  </si>
  <si>
    <t>A BACI study in a broadleaf forest in North Carolina from 2008-2014. The objective of this study was to determine if, and how, species richness or capture rate of reptiles and amphibians differed before and after treatements (burning, herbicide, harvesting), or among treatments and controls.</t>
  </si>
  <si>
    <t>940-1280</t>
  </si>
  <si>
    <t>No substantial disturbance in last 15-20y</t>
  </si>
  <si>
    <t>5 ha</t>
  </si>
  <si>
    <t>February, April</t>
  </si>
  <si>
    <t>6-8</t>
  </si>
  <si>
    <t>4 traps (2 funnel and 2 pitfall) per fence.</t>
  </si>
  <si>
    <t>7.6m drift fence</t>
  </si>
  <si>
    <t>37-54</t>
  </si>
  <si>
    <t>funnel and pitfall traps</t>
  </si>
  <si>
    <t xml:space="preserve">Fig 3 </t>
  </si>
  <si>
    <t>63-66</t>
  </si>
  <si>
    <t>1-4</t>
  </si>
  <si>
    <t>149-168</t>
  </si>
  <si>
    <t xml:space="preserve">A BACI study in a broadleaf forest in New York, USA from 1979-1992. The objective of this study was to determine if prescribed springtime fires would improved the status of established, understory oak seedlings, relative to the regeneration of competing canopy species, and to evaluate different frequencies and intensities of prescribed fire for lasting effects on understory structure and composition. </t>
  </si>
  <si>
    <t>New York</t>
  </si>
  <si>
    <t>42.45N; 42.03N</t>
  </si>
  <si>
    <t>76.33W; 75.43W</t>
  </si>
  <si>
    <t>520-560;  425-520</t>
  </si>
  <si>
    <t>1/3 of basal area removed &lt;50y ago in one of the two sites, other site not cut since 1920s.</t>
  </si>
  <si>
    <t>c. 13</t>
  </si>
  <si>
    <t>c. 4.5</t>
  </si>
  <si>
    <t>135-147</t>
  </si>
  <si>
    <t>Table 2, mean and SE calculated by JE</t>
  </si>
  <si>
    <t>true replicates are the number of independent burns</t>
  </si>
  <si>
    <t>shrubs &lt;8.9cm dbh/ up to 75cm tall</t>
  </si>
  <si>
    <t>Oak-hickory forest in an Arboretum. Presentation of data in Table 2 is unclear regarding standard errors, have extracted what appears to be correct standard errors)</t>
  </si>
  <si>
    <t>Oak Barrens managed by the nature Conservancy, restoration of open structure using dormant season fires and removal of invasive juniper</t>
  </si>
  <si>
    <t>Jacobs et al (2015)</t>
  </si>
  <si>
    <t>Natural Areas Journal</t>
  </si>
  <si>
    <t>35 (2)</t>
  </si>
  <si>
    <t>318-327</t>
  </si>
  <si>
    <t xml:space="preserve">A CI study in a broadleaf forest in Illinois, USA from 1986-2009. The objective of this study was to compare the soil and litter invertebrate community within annually burned, periodically burned (3-4 years), and unburned plots. </t>
  </si>
  <si>
    <t>Morton Arbotetum (East Woods)</t>
  </si>
  <si>
    <t>Autumn/winter</t>
  </si>
  <si>
    <t>15 cores were pooled</t>
  </si>
  <si>
    <t>15 cores were pooled, Plots were sampled three times in Oct '08, May '09 and Oct '09</t>
  </si>
  <si>
    <t>5m radius</t>
  </si>
  <si>
    <t>288</t>
  </si>
  <si>
    <t>12-24</t>
  </si>
  <si>
    <t>soil core</t>
  </si>
  <si>
    <t>Diversity based on abundance</t>
  </si>
  <si>
    <t>Burn (7-9)</t>
  </si>
  <si>
    <t>3 samples were pooled</t>
  </si>
  <si>
    <t>3 samples were pooled, Plots were sampled three times in Oct '08, May '09 and Oct '09</t>
  </si>
  <si>
    <t>litter trap</t>
  </si>
  <si>
    <t>Burn (25)</t>
  </si>
  <si>
    <t>Ohio</t>
  </si>
  <si>
    <t>c. 15</t>
  </si>
  <si>
    <t>Shrubs</t>
  </si>
  <si>
    <t>Fig 4</t>
  </si>
  <si>
    <t>Hutchinson and Sutherland (2000)</t>
  </si>
  <si>
    <t>NR (assume SE)</t>
  </si>
  <si>
    <t>Burn (3)</t>
  </si>
  <si>
    <t>139-152</t>
  </si>
  <si>
    <t xml:space="preserve">A BACI study in Coconino National forest, a coniferous forest in Arizona, from 1994-1998. This study tested prescribed burning and root trenching  treatments as proxies  for surface fire to test the effect on Penstemon clutei density and richness. </t>
  </si>
  <si>
    <t>Coconino National Forest (O'Leary Peak)</t>
  </si>
  <si>
    <t>35.37N</t>
  </si>
  <si>
    <t>111.51W</t>
  </si>
  <si>
    <t>19.6m2</t>
  </si>
  <si>
    <t>Fall</t>
  </si>
  <si>
    <t>Low elevation</t>
  </si>
  <si>
    <t>Authors do not describe which plants were measured</t>
  </si>
  <si>
    <t>belt transect</t>
  </si>
  <si>
    <t>136 (2)</t>
  </si>
  <si>
    <t>207-221</t>
  </si>
  <si>
    <t>A BACI study in a Broadleaf forest in Illinois, USA from 1990-1994. This study was undertaken to investigate the impact of repeated fires on groundlayer composition of a long-unburned sand forest undergoing invasion by Alliaria petiolata. This study investigated if 3 sequential annual fires would (1) eliminate or greatly reduce A. petiolata presence; (2) increase herbaceous cover and species richness, in particular of typical prairie species, and (3) reduce cover and community importance, but not richness, of woody understory vegetation.</t>
  </si>
  <si>
    <t>Sand Ridge State Forest</t>
  </si>
  <si>
    <t>40.40N</t>
  </si>
  <si>
    <t>89.88W</t>
  </si>
  <si>
    <t>autumn, early spring and mid spring</t>
  </si>
  <si>
    <t xml:space="preserve">The 40 plots were spread across 3 transects </t>
  </si>
  <si>
    <t>c. 9</t>
  </si>
  <si>
    <t>quadrat</t>
  </si>
  <si>
    <t>herbaceous and woody spp (&lt;1m tall)</t>
  </si>
  <si>
    <t>c. 21</t>
  </si>
  <si>
    <t>c. 3</t>
  </si>
  <si>
    <t>c. 33</t>
  </si>
  <si>
    <t>mid spring</t>
  </si>
  <si>
    <t>c.39</t>
  </si>
  <si>
    <t>ground cover</t>
  </si>
  <si>
    <t>6 (5)</t>
  </si>
  <si>
    <t>647-666</t>
  </si>
  <si>
    <t>A CI study in 6 sites in Broadlead forests on the Illinoian till plain. This study examines the composition and structure of flatwoods from vegetation and soil-sampling data and tests biotic and abiotic controls on vegetational diversity and stability. One out of the six sites has been annually burned for 20 years prior to sampling.</t>
  </si>
  <si>
    <t>South Till Plain Natural Division of Illinois</t>
  </si>
  <si>
    <t>38.49N</t>
  </si>
  <si>
    <t>89.22W</t>
  </si>
  <si>
    <t>&gt;10ha</t>
  </si>
  <si>
    <t xml:space="preserve">                                          </t>
  </si>
  <si>
    <t>500m2</t>
  </si>
  <si>
    <t>Burn (20)</t>
  </si>
  <si>
    <t xml:space="preserve">Fig 10 mean and SD calculated </t>
  </si>
  <si>
    <t>34 (8)</t>
  </si>
  <si>
    <t>1755-1765</t>
  </si>
  <si>
    <t>A CI study in two coniferous forests in the New Jersey Pine barrens, USA. The goals for this study were (i) to acquire baseline data for ectomycorrhizal diversity and nutrient availability (determined by nutrient uptake bioassays) in burned and unburned stands and (ii) to compare two burn regimes: one more frequent (Greenwood) and the other less frequent (Lebanon).</t>
  </si>
  <si>
    <t>New Jersey</t>
  </si>
  <si>
    <t>39.91N</t>
  </si>
  <si>
    <t>74.45W</t>
  </si>
  <si>
    <t>15m2</t>
  </si>
  <si>
    <t>4-8</t>
  </si>
  <si>
    <t>Samples were taken on 3 occasions in 1996. Unclear which taxonomic level (ectomycorrhizal morphotypes)</t>
  </si>
  <si>
    <t>Burn (7)</t>
  </si>
  <si>
    <t>Blake and Schuette (2000)</t>
  </si>
  <si>
    <t>Restoration of an oak forest in east-central Missouri - Early effects of prescribed burning on woody vegetation.</t>
  </si>
  <si>
    <t>139(1-3)</t>
  </si>
  <si>
    <t>109-126</t>
  </si>
  <si>
    <t>A CI study in a mixed forest in east-central Missouri, USA from 1989-1996. The objective of this study was to determine what effects repeated, pre- scribed burning in forest understory has had on woody vegetation within an oak-dominated forest of east- central Missouri over a seven year period.</t>
  </si>
  <si>
    <t>80 ha</t>
  </si>
  <si>
    <t>Feb-mar</t>
  </si>
  <si>
    <t>Using comparator adjacent to burned areas, rather than that in the north of the park</t>
  </si>
  <si>
    <t>0.05ha</t>
  </si>
  <si>
    <t>75-88</t>
  </si>
  <si>
    <t>plot and transect</t>
  </si>
  <si>
    <t>Burn (3-4)</t>
  </si>
  <si>
    <t>39-40</t>
  </si>
  <si>
    <t>Upland pine-oak stands in state forests, with natural wildfire.</t>
  </si>
  <si>
    <t>Partly (likely to be similar)</t>
  </si>
  <si>
    <t>State park previously under fire supression</t>
  </si>
  <si>
    <t>Unclear (unclear reporting on what the variance measure was, lacking information on how data was combined to give richness per plot)</t>
  </si>
  <si>
    <t>Oak-dominated, relatively undisturbed since clearcutting 80-120y ago</t>
  </si>
  <si>
    <t>Yes (a hotter restoration burn)</t>
  </si>
  <si>
    <t>Upland pine-oak stands in state forests, with natural wildfire</t>
  </si>
  <si>
    <t>Partly (sites had a different aspect, otherwise were similar)</t>
  </si>
  <si>
    <t>Sand forest of black oak. State forest, not burned in last 20y, minimal historic disturbance. "For woody vegetation in particular the effects were only temporary, as most shrubs and vines native to sand forest are very fire-tolerant."</t>
  </si>
  <si>
    <t>Partly (number of replicates in burned site was lower than in control sites)</t>
  </si>
  <si>
    <t>Partly (soil types different between burn and control sites)</t>
  </si>
  <si>
    <t>relatively undisturbed sites</t>
  </si>
  <si>
    <t>National forest land</t>
  </si>
  <si>
    <t xml:space="preserve">Author provided raw data via email </t>
  </si>
  <si>
    <t>Burn (1-&lt;2 per 4y)</t>
  </si>
  <si>
    <t>Burn (&lt;1 per 4y)</t>
  </si>
  <si>
    <t>Burn (2-&lt;3 per 4y)</t>
  </si>
  <si>
    <t>Burn (3-&lt;4 per 4y)</t>
  </si>
  <si>
    <t>Excel sheet provided by Peterson "SR- plot scale 2017-06-22"</t>
  </si>
  <si>
    <t>&lt;1 per 4y</t>
  </si>
  <si>
    <t>Plots ranged from between 5 to 33 years in experiemnt, and only fire frequency reported</t>
  </si>
  <si>
    <t>1-&lt;2 per 4y</t>
  </si>
  <si>
    <t>2-&lt;3 per 4 y</t>
  </si>
  <si>
    <t>3-&lt;4 per 4y</t>
  </si>
  <si>
    <t>cover</t>
  </si>
  <si>
    <t>Woody species including shrubs, trees and vines</t>
  </si>
  <si>
    <t>overstory trees &gt;5cm diameter</t>
  </si>
  <si>
    <t>All species, including trees, forbs, grasses, shrubs, vines</t>
  </si>
  <si>
    <t>abundance; cover</t>
  </si>
  <si>
    <t>Excel sheet provided by Peterson "Peterson and Reich SR- plot scale 2017-06-22"</t>
  </si>
  <si>
    <t>2.6-30ha</t>
  </si>
  <si>
    <t>Partly (burn treatments were randomly assigned to burn units, but burn units differed in size, contained savanah or woodland (varying canopy cover, all &gt;10%), number of plots differed between burn treatments (between 2 to 8 plots), some burn units contained more than 1 plot, burns undertaken across different lengths of time.</t>
  </si>
  <si>
    <t>South-facing hillslope, which corresponded to three community types: mesic, near-stream cove (riparian); dry, mixed-oak (mid-slope); and xeric, pine-hardwood (ridge). "As with many other large scale fire studies, this study was pseudoreplicated.  Therefore, interpretation is based on before, after, and long-term burn treatment effects and limited to this particular forest site"</t>
  </si>
  <si>
    <t>Partly (sites similar at baseline, but replication within treatment groups is not evenly distributed between burn sites)</t>
  </si>
  <si>
    <t>Second-growth oak forest</t>
  </si>
  <si>
    <t>Yes (BACI)</t>
  </si>
  <si>
    <t>Partly (authors state that indirect fire effects related to environmental changes and changes in resource availability were largely responsible for the understory vegetation patterns)</t>
  </si>
  <si>
    <t>mixed-aged ponderosa pine stands</t>
  </si>
  <si>
    <t>Yes (intervention and control well-matched at baseline)</t>
  </si>
  <si>
    <t>Yes (described as prescribed understory fuel reductions)</t>
  </si>
  <si>
    <t>White and douglas fir, and large accumulation of standing and down dead wood.</t>
  </si>
  <si>
    <t>Yes (purposive, but accounted for spatial heterogeneity, similar at baseline)</t>
  </si>
  <si>
    <t>ponderosa pine dominated, dry, mixed-confier forest scheduled for imminent operational prescribed burns</t>
  </si>
  <si>
    <t>Partly (number of replicates of burned sites was lower than  control sites)</t>
  </si>
  <si>
    <t>Unclear (sites were in two compartments, in close proximity, but no details on similarity)</t>
  </si>
  <si>
    <t>145-year old white pine, thinned to 55-75% canopy cover 12 years prior to study</t>
  </si>
  <si>
    <t>The stands were comprised of at least two age cohorts: an overstory of widely scattered 300- to 500-year-old pines or incense ce- dars and a dense 50- to 100-year-old understory of pines, white fir, and incense cedar originating after intensive live- stock grazing ceased and the onset of wildfire suppression</t>
  </si>
  <si>
    <t>Yes (although previous fires, all had similar characteristics)</t>
  </si>
  <si>
    <t>Yes (all efforts to minimize were done)</t>
  </si>
  <si>
    <t>Fuel reduction in mediteranean pine forests</t>
  </si>
  <si>
    <t>Partly (20 burnt plots, but only 1m2 each)</t>
  </si>
  <si>
    <t>Yes (Similar at baseline)</t>
  </si>
  <si>
    <t>Semi-natural mediteranean forest area with frequent slash-pile burns</t>
  </si>
  <si>
    <t>Yes (randomised complete block design)</t>
  </si>
  <si>
    <t>Pine and fir forest-grassland interface</t>
  </si>
  <si>
    <t>Partly (3 reps of each treatment, but no indication of size of burns)</t>
  </si>
  <si>
    <t>Unclear (authors state they sampled the entire transect, but no details on length of each, or if there were multiple transects in the burn)</t>
  </si>
  <si>
    <t>A fire suppressed mixed conifer forest</t>
  </si>
  <si>
    <t>Highly productive mixed-conifer forest</t>
  </si>
  <si>
    <t>Undisturbed, late successional forest</t>
  </si>
  <si>
    <t>Oak savanna restoration</t>
  </si>
  <si>
    <t>second-growth ponderosa pine</t>
  </si>
  <si>
    <t>Managed oak dominated hardwood forests</t>
  </si>
  <si>
    <t>No (Authors state: If the characteristics of all units were identical before treatments were randomly assigned, the no-action treatment would have represented a true control. Differences in site and disturbance history, however, resulted in differences in stand structure that were recognized before treatments were applied. The term ‘‘control’’ is used here for ease of interpretation AND Consequently, experimental units, especially understory vegetation composition, differed more as a result of pre-existing conditions than as a result of treatment)</t>
  </si>
  <si>
    <t>even-aged ponderosa pine and douglas-fir pole forest</t>
  </si>
  <si>
    <t>mixed ponderosa pine and douglas fir stands</t>
  </si>
  <si>
    <t>Yes (randomised and blocked)</t>
  </si>
  <si>
    <t>previously thinned ponderosa pine forest</t>
  </si>
  <si>
    <t>Partly (all previously treated fires, with uneven control/treatment replicates)</t>
  </si>
  <si>
    <t>Yes (controls were ecologicaly similar to treated stands, and all stands had to meet list of criteria)</t>
  </si>
  <si>
    <t>Partly (uneven control/treatment reps)</t>
  </si>
  <si>
    <t>Species-rich broadleaf forest</t>
  </si>
  <si>
    <t>Typical of mixed mesophytic/northern hardwood transition forests, canopies were species rich, composed of 10–15 species of dominant and codominant trees</t>
  </si>
  <si>
    <t>Gundale et al (2006)</t>
  </si>
  <si>
    <t>100-year old second-growth ponderosa pine/douglas fir forest</t>
  </si>
  <si>
    <t>Pinyon-juniper woodland</t>
  </si>
  <si>
    <t>N/A (BA)</t>
  </si>
  <si>
    <t>Partly (Control plots were not included in the design in 2003 but were added in 2004 within the untreated vegetation directly bordering the treatment area.) Treatments were randomized, but controls were purposive</t>
  </si>
  <si>
    <t>Partly (Before and during this study, the study area experienced treatment of L. maackii via cutting and direct application of glyphosate. Under this management regime, the study area forest was a dynamic system undergoing structural adjustment and succession in response to removal of both E. fortunei and L. maackii. Changes in forest structure reflected in this study may be due to the combined effects of removing both species.)</t>
  </si>
  <si>
    <t xml:space="preserve">Arboretum forest - in an urban/suburban area thatis particularly vulnerable to disturbance and to encroachment of invasive plants. </t>
  </si>
  <si>
    <t>Partly (The treatments were allocated to the study sites randomly, except for the uncut control sites, which had to be situated inside Patvinsuo National Park to guarantee that they would not be harvested in the future)</t>
  </si>
  <si>
    <t>150 year old Scots pine forest</t>
  </si>
  <si>
    <t>pinyon-juniper ecotone to lower reaches of a dry mixed conifer ecotone. Managed as part of the Lon-term Ecological Assessment and Restoration Network (LEARN)</t>
  </si>
  <si>
    <t>Mixed conifer stands</t>
  </si>
  <si>
    <t>April</t>
  </si>
  <si>
    <t>Prescribed fire effects on the herbaceous layer of mixed-oak forests</t>
  </si>
  <si>
    <t>877-890</t>
  </si>
  <si>
    <t>A BACI study from 1995-1999 in 2 broadleaf forests in Ohio (one of which is outside of our study area). This study sought to answer 1) do annual and periodic burns produce different effects? 2) Are fire effects different across the lanscape? 3) Which species or species groups are most strongly affected by fire?</t>
  </si>
  <si>
    <t>Vinton Furnace Experimental Forest (Arch Rock; Watch Rock); Wayne National Forest (Young's Branch; Bluegrass Ridge)</t>
  </si>
  <si>
    <t>39.18-39.20 N</t>
  </si>
  <si>
    <t>82.37-82.38 W</t>
  </si>
  <si>
    <t>4 sites pooled for data</t>
  </si>
  <si>
    <t>25ha</t>
  </si>
  <si>
    <t>Mar-April</t>
  </si>
  <si>
    <t>2-5</t>
  </si>
  <si>
    <t>least sqare means</t>
  </si>
  <si>
    <t>1250m2</t>
  </si>
  <si>
    <t>Figure 4</t>
  </si>
  <si>
    <t xml:space="preserve"> </t>
  </si>
  <si>
    <t>Season and severity of prescribed burn in ponderosa pine forests: implications for understory native and exotic plants</t>
  </si>
  <si>
    <t>Ecoscience</t>
  </si>
  <si>
    <t>44-55</t>
  </si>
  <si>
    <t>A CI study in a coniferous forest in Oregon, USA from 1997-2002. The study objectives were to address: (1) For each species group, are there differences in richness and cover among the three burn treatments? (2) What factors (bum treatment, fire severity, overstory stand structure, substrate condition, and environmental heterogeneity) can be used to explain and predict richness and cover for each species group? (3) How do these results and their implications vary by species group and their associated life-history traits?</t>
  </si>
  <si>
    <t>Malheur National Forest (Emigrant Creek Ranger District)</t>
  </si>
  <si>
    <t>43.78-43.88 N</t>
  </si>
  <si>
    <t>118.75-118.95 W</t>
  </si>
  <si>
    <t>1570-1740</t>
  </si>
  <si>
    <t>Each stand received consistent thinning prescription in 1994 or 1995.  Thinned from below, no trees greater than 530mm diameter were removed.</t>
  </si>
  <si>
    <t>7-25ha</t>
  </si>
  <si>
    <t>8</t>
  </si>
  <si>
    <t>0.3ha</t>
  </si>
  <si>
    <t>plots</t>
  </si>
  <si>
    <t>Richness on 0.3ha scale, one 0.3 ha subplot in each of 6 treatment block</t>
  </si>
  <si>
    <t>5cmx10cm</t>
  </si>
  <si>
    <t>Modeling the effects of environmental disturbance on wildlife communities: Avian responses to prescribed fire</t>
  </si>
  <si>
    <t>Ecological Applications</t>
  </si>
  <si>
    <t>1253-1263</t>
  </si>
  <si>
    <t>A BACI study in a coniferours forest in Washington, USA from 2002-2006 that uses experimental data and modelling to describe the avian response to prescribed fire. The authors describe a Bayesian hierarchical model of multi-species occupancy accounting for detection probability,</t>
  </si>
  <si>
    <t>Uses modelling for richness data</t>
  </si>
  <si>
    <t>Washington</t>
  </si>
  <si>
    <t>Okanogan-Wenatchee National Forest (Methow Valley)</t>
  </si>
  <si>
    <t>48.5 N</t>
  </si>
  <si>
    <t>120 W</t>
  </si>
  <si>
    <t>325ha</t>
  </si>
  <si>
    <t>95% credible interval</t>
  </si>
  <si>
    <t>100m point count</t>
  </si>
  <si>
    <t>Cook et al (2008)</t>
  </si>
  <si>
    <t>Compositional, cover, and diversity changes after prescribed fire in a mature eastern white pine forest</t>
  </si>
  <si>
    <t>Botany</t>
  </si>
  <si>
    <t>1427-1439</t>
  </si>
  <si>
    <t>A BACI study in a coniferous forest in Wisconsin from 2001-2005 which examined the effects of presribed fire on cover and richness, loss of species, and the response of vernal and aestival assemblage for sapling and understory vegetation</t>
  </si>
  <si>
    <t>Wisconsin</t>
  </si>
  <si>
    <t>Menominee Reservation</t>
  </si>
  <si>
    <t>45.12 N</t>
  </si>
  <si>
    <t>88.28 W</t>
  </si>
  <si>
    <t>overstory cut to 50-75% canopy 12 years prior</t>
  </si>
  <si>
    <t>0.81ha</t>
  </si>
  <si>
    <t>May-June 2002</t>
  </si>
  <si>
    <t>Table 6</t>
  </si>
  <si>
    <t>August 2004</t>
  </si>
  <si>
    <t xml:space="preserve">Vegetation responses to stand structure
and prescribed fire in an interior ponderosa pine ecosystem. </t>
  </si>
  <si>
    <t>909-918</t>
  </si>
  <si>
    <t>A BACI study in coniferous forest in California, USA between 1997 and 2005 aimed to determine the
influence of structural diversity on the dynamics of interior pine forests at the landscape scale.</t>
  </si>
  <si>
    <t>Blacks Mountain Experimental
Forest</t>
  </si>
  <si>
    <t>Blacks Mountain Ecological Research Project</t>
  </si>
  <si>
    <t>1700-2100</t>
  </si>
  <si>
    <t>Low structural diversity</t>
  </si>
  <si>
    <t>77-144ha (burn+ctrl)</t>
  </si>
  <si>
    <t>100m transect</t>
  </si>
  <si>
    <t>Transect</t>
  </si>
  <si>
    <t>Understory shrubs</t>
  </si>
  <si>
    <t>Figure 5</t>
  </si>
  <si>
    <t>High structural diversity</t>
  </si>
  <si>
    <t>156-168</t>
  </si>
  <si>
    <t xml:space="preserve">A CI study in 8 Mediterraneanan pine forest sites in the Iberian Peninsula 8-9 years post prescribed burn. The study aimed to compare contemporary spatial diffrences between burned and unburned stands as a surrogate for the effects of fire treatment.  </t>
  </si>
  <si>
    <t>Spain</t>
  </si>
  <si>
    <t>Catalonia</t>
  </si>
  <si>
    <t>Iberian Peninsula (multiple forest stands)</t>
  </si>
  <si>
    <t>Burns carried out by the Forest Actions Support Group</t>
  </si>
  <si>
    <t>260-1010</t>
  </si>
  <si>
    <t>Winter-Spring</t>
  </si>
  <si>
    <t>96-108</t>
  </si>
  <si>
    <t>1 100m2 x 8 fires</t>
  </si>
  <si>
    <t>69 (1)</t>
  </si>
  <si>
    <t>75-87</t>
  </si>
  <si>
    <t xml:space="preserve">A BACI study in a coniferous forest in British Columbia, Canada from 1998-2002. The objectives were to determine the short-term effects of burning on understory species fiversity and biomass production in ponderosa pine forests and bluebunch wheatgrass grasslands. </t>
  </si>
  <si>
    <t>British Columbia</t>
  </si>
  <si>
    <t>Dew Drop (Tranquille Ecological Reserve)</t>
  </si>
  <si>
    <t>50.75N</t>
  </si>
  <si>
    <t>120.6W</t>
  </si>
  <si>
    <t>610-1160</t>
  </si>
  <si>
    <t>235ha (whole reserve)</t>
  </si>
  <si>
    <t>0.4x0.5m</t>
  </si>
  <si>
    <t>26 (6)</t>
  </si>
  <si>
    <t>18 (4)</t>
  </si>
  <si>
    <t>228-233</t>
  </si>
  <si>
    <t xml:space="preserve">A BACI study in a mixed forest in Wisconsin, USA from 1993-94. The purpose of this study was to test the hypothesis that single prescribed fires alone are not effective for savanna restoration. This was tested by measuring the effects of single-event prescribed fires on songbird abundance and vegetation structure and abundance on degraded savannas. </t>
  </si>
  <si>
    <t>Necedah Wildlife Management Area</t>
  </si>
  <si>
    <t>44.13N</t>
  </si>
  <si>
    <t>90.18W</t>
  </si>
  <si>
    <t>109-547m</t>
  </si>
  <si>
    <t>transect</t>
  </si>
  <si>
    <t>1 transect, 3 reps</t>
  </si>
  <si>
    <t>Herbaceous plants</t>
  </si>
  <si>
    <t>October</t>
  </si>
  <si>
    <t>Initial changes in forest structure and understory plant communities following fuel reduction activities in a Sierra Nevada mixed conifer forest</t>
  </si>
  <si>
    <t>102-111</t>
  </si>
  <si>
    <t>A BACI study of coniferous forest in California, USA between 2001-2003  aimed to determine how three
different fuel treatment strategies affect understory plant richness and abundance relative to untreated controls.</t>
  </si>
  <si>
    <t>38.91 N</t>
  </si>
  <si>
    <t>120.66 W</t>
  </si>
  <si>
    <t>1100-1410</t>
  </si>
  <si>
    <t>14-29ha</t>
  </si>
  <si>
    <t>Oct/Nov</t>
  </si>
  <si>
    <t>mean differences</t>
  </si>
  <si>
    <t>0.4ha</t>
  </si>
  <si>
    <t>circular plots</t>
  </si>
  <si>
    <t>Figure 6</t>
  </si>
  <si>
    <t>3 burns, 20 plots</t>
  </si>
  <si>
    <t>Fire and fire surrogate treatment effects on leaf litter arthropods in a western Sierra Nevada mixed-conifer forest</t>
  </si>
  <si>
    <t>110-122</t>
  </si>
  <si>
    <t>A BACI study of coniferous forest in California, USA between 2001-2003 measured immediate, post-treatment responses of several arthropod groups, focusing on the Coleoptera, to fire and thinning treatments.</t>
  </si>
  <si>
    <t>38.87 N</t>
  </si>
  <si>
    <t>120.67 W</t>
  </si>
  <si>
    <t>1200-1500</t>
  </si>
  <si>
    <t>pitfall traps</t>
  </si>
  <si>
    <t>bootstrap estimate</t>
  </si>
  <si>
    <t>Response of forest soil Acari to prescribed fire following stand structure manipulation in the southern Cascade Range</t>
  </si>
  <si>
    <t>956-968</t>
  </si>
  <si>
    <t>A CI study in coniferous forest in Califorina, USA between June and October 1998  aimed to characterise the responses of soil Acari, especially oribatei, to low-intensity fire in dry, interior forests of western US and to determin whether stand complexity influences mite assemblage responses to prescribed fire.</t>
  </si>
  <si>
    <t>Lassen National Forest (Blacks Mountain Experimental Forest)</t>
  </si>
  <si>
    <t>40.67 N</t>
  </si>
  <si>
    <t>121.17 W</t>
  </si>
  <si>
    <t>RNA only, not thinned (HSD, LSD)</t>
  </si>
  <si>
    <t>50ha</t>
  </si>
  <si>
    <t>4 composite samples, each of 5 transects</t>
  </si>
  <si>
    <t>1ha</t>
  </si>
  <si>
    <t xml:space="preserve">Oribatei </t>
  </si>
  <si>
    <t>Brillouin Diversity index</t>
  </si>
  <si>
    <t>Oribatid mite community decline two years after low-intensity burning in the Southern Cascade Range of California, USA</t>
  </si>
  <si>
    <t>Forests</t>
  </si>
  <si>
    <t>959-985</t>
  </si>
  <si>
    <t>A CI study in coniferous forest in Califorina, USA reported evaluations of earlier observations  (1998) on forest mite population in light of additional data from samples collected in October 1998 (twelve months after application of prescribed fire) and in June
1999 (twenty months after prescribed fire).</t>
  </si>
  <si>
    <t>Oak savanna management strategies and their differential effects on vegetative structure, understory light, and flowering forbs</t>
  </si>
  <si>
    <t>89-98</t>
  </si>
  <si>
    <t xml:space="preserve">A CI study in an oak savanna in Michigan, USA in 2011 and 2012 to measure the effects of two restoration strategies on 1) structural metrics of vegatation 2) understory light availability and 3) flowering response of understory forb species </t>
  </si>
  <si>
    <t>MacCready Reserve</t>
  </si>
  <si>
    <t>42.13 N</t>
  </si>
  <si>
    <t>84.39 W</t>
  </si>
  <si>
    <t>0.2-1-2ha</t>
  </si>
  <si>
    <t>314m2</t>
  </si>
  <si>
    <t>circular plot</t>
  </si>
  <si>
    <t>Flowering forb species</t>
  </si>
  <si>
    <t>Figure 7</t>
  </si>
  <si>
    <t>Journal of Applied Ecology</t>
  </si>
  <si>
    <t>Montana</t>
  </si>
  <si>
    <t>Lubrecht Experimental Forest</t>
  </si>
  <si>
    <t>46.88 N</t>
  </si>
  <si>
    <t>113.43 W</t>
  </si>
  <si>
    <t>1263-1388</t>
  </si>
  <si>
    <t>modest grazing pressure in recent decades</t>
  </si>
  <si>
    <t>9ha</t>
  </si>
  <si>
    <t>May/June</t>
  </si>
  <si>
    <t>1000m2</t>
  </si>
  <si>
    <t>Common and uncommon understory species differentially respond to restoration treatments in ponderosa pine/Douglas-fir forests, Montana</t>
  </si>
  <si>
    <t>Restoration Ecology</t>
  </si>
  <si>
    <t>696-708</t>
  </si>
  <si>
    <t xml:space="preserve">A BACI study from 2000-2004 in a coniferous forest in Montana, USA examined the effects of burning and thinning on native understory species. The study addressed 3 questions: 1)Do restoration treatments differentially affect common or uncommon native species as groups? 2) what individual species are favored or harmed by particular restoration treatments? 3) do individual understory plant species responses to restoration treatments follow their functional group membership? </t>
  </si>
  <si>
    <t>Study is BACI, on CI useful</t>
  </si>
  <si>
    <t>Restoration treatment effects on the understory of ponderosa pine/Douglas-fir forests in western Montana, USA</t>
  </si>
  <si>
    <t>355-369</t>
  </si>
  <si>
    <t xml:space="preserve">A BACI study from 2000-2004 in a coniferous forest in Montana, USA whose primary objective was the evaluate the extent to which resoration treatments designed to restore an approximation of historical structure and function in ponderosa pine/douglas fir forests differentially impact understory richness and abundance. </t>
  </si>
  <si>
    <t>1249-1363</t>
  </si>
  <si>
    <t>Forest management and curculionid weevil diversity in mixed oak forests of southeastern Ohio</t>
  </si>
  <si>
    <t>363-369</t>
  </si>
  <si>
    <t>A CI study from 2001-2005 in a broadleaf forest in Ohio, USA that aimed to adress the following questions: (1) What effect do treatments have on overall diver- sity of weevils in the area, and how do they influence community composition? and (2) Do the treatments specifically reduce the abundance of the acorn infesting weevils, Curculio and Conotrachelus?</t>
  </si>
  <si>
    <t>Raccoon Ecological Management Area; Zaleski State Forest</t>
  </si>
  <si>
    <t>20ha</t>
  </si>
  <si>
    <t>pyramid traps</t>
  </si>
  <si>
    <t>Curculionids (acorn weevils)</t>
  </si>
  <si>
    <t>Calculated by JJT</t>
  </si>
  <si>
    <t>Early impacts of forest restoration treatments on the ectomycorrhizal fungal community and fine root biomass in a mixed conifer forest</t>
  </si>
  <si>
    <t>526-535</t>
  </si>
  <si>
    <t>A BACI study from 1998-2001 in a coniferous forest in Oregon, USA. The objectives were to (i) quantify the effect of restoration thinning and prescribed fire on the EMF community and live fine root biomass; (ii) assess the importance of duff (decaying material) depth as a measure of treatment impact; and (iii) determine whether the number of EMF species and the biomass of live fine roots differ with soil depth in response to restoration treatments.</t>
  </si>
  <si>
    <t>Blue Mountains (Wallowa-Whitman National Forest)</t>
  </si>
  <si>
    <t>45.67 N</t>
  </si>
  <si>
    <t>117.22 W</t>
  </si>
  <si>
    <t>1300-1600</t>
  </si>
  <si>
    <t>c. 10ha</t>
  </si>
  <si>
    <t>September</t>
  </si>
  <si>
    <t>3 random grid points were selected for sampling</t>
  </si>
  <si>
    <t>RFLP species; data also presented for upper/lower soil cores, but total presented here</t>
  </si>
  <si>
    <t>Developing resilient ponderosa pine forests with mechanical thinning and prescribed fire in central Oregon′s pumice region</t>
  </si>
  <si>
    <t>1171-1185</t>
  </si>
  <si>
    <t>A BACI and CI study in a coniferous forest in Oregon, USA from 1988-2006. The study objectives were to determine (1) long-term changes in tree mortality, stand growth, and understory production following thinning, burning, or their combination, (2) whether thinning residues affect site pro- ductivity, (3) the comparative increase in plant production associated with nutrient flushes from burning versus fertilizer application, and (4) if and when additional treatment is needed to limit fuel accumulation.</t>
  </si>
  <si>
    <t>Deschutes National Forest</t>
  </si>
  <si>
    <t>1398-1554</t>
  </si>
  <si>
    <t>June</t>
  </si>
  <si>
    <t>0.5mx0.5m</t>
  </si>
  <si>
    <t>herbaceous plants</t>
  </si>
  <si>
    <t>Figure 8</t>
  </si>
  <si>
    <t>Reintroducing fire into a ponderosa pine forest with and without cattle grazing: understory vegetation response</t>
  </si>
  <si>
    <t>Ecosphere</t>
  </si>
  <si>
    <t>2 (5): 59</t>
  </si>
  <si>
    <t>1-23</t>
  </si>
  <si>
    <t xml:space="preserve">A BACI study in a confierous forest in Oregon that is part of a larger experiment to examine multiple prescribed fire effects (Smith et al 2004, Thies et al 2005, 2006, Kerns et al 2006, Hatten et al 2008). This study evaluates an array of forest understory vegetation responses to repeated prescribed burning (5-yr interval: spring, fall, and no burning) and cattle grazing (grazing, no grazing) and the interaction of this disturbance combination in an eastern Oregon ponderosa pine forest. </t>
  </si>
  <si>
    <t>4-18ha</t>
  </si>
  <si>
    <t>CL</t>
  </si>
  <si>
    <t>understory (exotics)</t>
  </si>
  <si>
    <t>In text pg 15</t>
  </si>
  <si>
    <t>Thinning and burning result in low-level invasion by nonnative plants but neutral effects on natives</t>
  </si>
  <si>
    <t>762-770</t>
  </si>
  <si>
    <t>A CI study in a confirous forest in Washington, USA in 2003 that study burns that occurred between 1984-2000. The study examined 1) do thinning, burning or the combinatio affect understory species composition? 2) do these treatments affect abundance or diversity? 3) do responses vary with the characteristics of thinning and burning or time since treatment? 4) how do these treatments affect nonnative plants?</t>
  </si>
  <si>
    <t>Colville National Forest; Okanogan-Wenatchee National Forest</t>
  </si>
  <si>
    <t>48-49 N</t>
  </si>
  <si>
    <t>118-121 W</t>
  </si>
  <si>
    <t>&lt;1200</t>
  </si>
  <si>
    <t>8 transects, 20 microplots each</t>
  </si>
  <si>
    <t>0.2m x 0.5m</t>
  </si>
  <si>
    <t>microplot</t>
  </si>
  <si>
    <t>Native plants</t>
  </si>
  <si>
    <t>Nonnative plants</t>
  </si>
  <si>
    <t>Understory vegetation response to thinning and burning restoration treatments in dry conifer forests of the eastern Cascades, USA</t>
  </si>
  <si>
    <t>3130-3140</t>
  </si>
  <si>
    <t>A BACI study in a coniferous forest in Washington, USA from 2000-2005 that examined restoration treatment effects on understory vegetation. The study examined: (i) Do treatments significantly alter understory plant species richness, total cover, or species composition? (ii) Do treatment effects vary for major plant life-forms (graminoids, forbs, and shrubs)? (iii) Do treatments increase the abundance (species richness or cover) of exotic plant species?</t>
  </si>
  <si>
    <t>Okanogan-Wenatchee National Forest (Mission Creek)</t>
  </si>
  <si>
    <t>47.42 N</t>
  </si>
  <si>
    <t>120.53 W</t>
  </si>
  <si>
    <t>683-1097</t>
  </si>
  <si>
    <t>April/May</t>
  </si>
  <si>
    <t>quadrats</t>
  </si>
  <si>
    <t>total richness</t>
  </si>
  <si>
    <t>Shrub species</t>
  </si>
  <si>
    <t>Exotic</t>
  </si>
  <si>
    <t>Pervasive interactions between ungulate browsers and disturbance regimes promote temperate forest herbaceous diversity</t>
  </si>
  <si>
    <t>A CI study in a broadleaf forest in West Virginia, USA from 2000-2001. This study examined how and to what degree large gaps typical of old-growth forests, fires that were once common in the region, and moderate browsing levels interact to control herbaceous composition in species-rich forests.</t>
  </si>
  <si>
    <t>West Virginia</t>
  </si>
  <si>
    <t>Fernow Experimental Forest; Monongahela National Forest</t>
  </si>
  <si>
    <t>39.02-39.10 N</t>
  </si>
  <si>
    <t>79.70-79.72 W</t>
  </si>
  <si>
    <t>670-810</t>
  </si>
  <si>
    <t>The region is characterized as having a median canopy disturbance interval of 31 years (Schuler and Fajvan 1999) and a fire return interval conservatively estimated at `50–75 years</t>
  </si>
  <si>
    <t>400m2</t>
  </si>
  <si>
    <t>Shrub</t>
  </si>
  <si>
    <t>Historic disturbance regimes promote tree diversity only under low browsing regimes in eastern deciduous forest</t>
  </si>
  <si>
    <t>Ecological Monographs</t>
  </si>
  <si>
    <t>3-17</t>
  </si>
  <si>
    <t>A CI study in a broadleaf forest in West Virginia from 1998-2004. This studied aimed to examine 1) whether fire suppresions has allowed fire-intolerant species to become dominant 2) whether canopy gaps in second-growth forests are too small to allow recruitment of all but the most shade-tolerant species and 3)whether browsing by high populations of white-tailed deer prevents palatable species from recruiting</t>
  </si>
  <si>
    <t>Mead-Westvaco Research Forest</t>
  </si>
  <si>
    <t>38.70 N</t>
  </si>
  <si>
    <t>80.05 W</t>
  </si>
  <si>
    <t>Lacking signs of recent large canopy gaps or fire. Fire return intervals in this system are on the order of 25–30 years or more</t>
  </si>
  <si>
    <t>16 (2)</t>
  </si>
  <si>
    <t>479-489</t>
  </si>
  <si>
    <t>A BACI study in a coniferous forest in Montana, USA from 2000-2004. The purpose of this study was to examine variability of N availability following four restoration alternatives, and to determine whether this variation had any relationship to understory richness.</t>
  </si>
  <si>
    <t>47 N</t>
  </si>
  <si>
    <t>113 W</t>
  </si>
  <si>
    <t>Data taken from 2003, 2004 had an outlier identified by authors</t>
  </si>
  <si>
    <t>478-488</t>
  </si>
  <si>
    <t>A BACI study in a coniferous forest in Arizona, USA from 2004-2011. The study aimed to answer: (1) Do understory cover and species richness differ between fuels reduction approaches? (2) Do treat- ments affect establishment and spread of invasive nonnative plants? (3) Do treatments affect understory community composi- tion? In addition to these questions, we evaluated differences in cover of biological soil crusts and bare soil as indicators of ecosys- tem integrity and function.</t>
  </si>
  <si>
    <t>High Validity</t>
  </si>
  <si>
    <t>Topeka Project</t>
  </si>
  <si>
    <t>36.02 -  40.0 N</t>
  </si>
  <si>
    <t>2 treatment reps per 6 sites, 1 transect each</t>
  </si>
  <si>
    <t>120-127</t>
  </si>
  <si>
    <t xml:space="preserve">A CI study in a mixed broadleaf forest in Michigan, USA from 2008 - 2013.  The focus of this study was on thinning and assessing how the small mammal community was affected by three thinning treatments implemented in an oak savanna restoration. There was a prescrived burn of all sites halfway through the study, so only later data can be used. </t>
  </si>
  <si>
    <t>Huron-Manistee National Forest (Pines Point)</t>
  </si>
  <si>
    <t>0.8ha</t>
  </si>
  <si>
    <t>July</t>
  </si>
  <si>
    <t>Using control data BA, all other sites thinned. All sites burned in 2010 including control.</t>
  </si>
  <si>
    <t>small mammals</t>
  </si>
  <si>
    <t>50m</t>
  </si>
  <si>
    <t>45 (10)</t>
  </si>
  <si>
    <t>1239-1247</t>
  </si>
  <si>
    <t xml:space="preserve">A CI study in a Scots pine forest in Finland from 2000-2013. This study compared lichen assemblages among ct sites with different retention levels and following prescribed burning to examine whether sustainable management measures could mitigate or deepen the impact of biofuel harvest. </t>
  </si>
  <si>
    <t>Lieksa</t>
  </si>
  <si>
    <t>2mx8m</t>
  </si>
  <si>
    <t>used cutting control burn vs unburn</t>
  </si>
  <si>
    <t>208-220</t>
  </si>
  <si>
    <t>A BACI study in a coniferous forest in Arizona, USA from 2006-2013. This study evaluated whether understory plant response following ecological restoration increased cover and diversity of native vegetation 5 years after treatments. This study also compared their results to similar studies in the region from the LEARN network.</t>
  </si>
  <si>
    <t>Apache-Sitgreaves National Forest (Mineral Ecosystem Management Area)</t>
  </si>
  <si>
    <t>Long-term Ecological Assessment Restoration Network (LEARN)</t>
  </si>
  <si>
    <t>2340-2580</t>
  </si>
  <si>
    <t>13ha</t>
  </si>
  <si>
    <t>total species richness (10 other FG data sets available inc. graminoid, elgume, forb, etc)</t>
  </si>
  <si>
    <t>Global Change Biology</t>
  </si>
  <si>
    <t>1543-1552</t>
  </si>
  <si>
    <t xml:space="preserve">A BACI study in a coniferous forest in the Sierra Nevada range in California, USA from 2003-2006. The objectives of this study were to determine how altered snow depth, increased levels of nitrogen deposition and fire affect mixed-conifer understory diversity and biomass production. </t>
  </si>
  <si>
    <t>Teakettle Experimental
Forest</t>
  </si>
  <si>
    <t>&gt;144m2</t>
  </si>
  <si>
    <t>Summer</t>
  </si>
  <si>
    <t>At Teakettle, there was no difference in richness response between the snowpack treatments, so plots were pooled</t>
  </si>
  <si>
    <t>9x9</t>
  </si>
  <si>
    <t>herb</t>
  </si>
  <si>
    <t>Yosemite National Park</t>
  </si>
  <si>
    <t>Teakettle Experimental
Forest;</t>
  </si>
  <si>
    <t>shrub</t>
  </si>
  <si>
    <t>At Yosemite, shrub data were pooled across snow treatments because there was no significant response to snow addition or reduction.</t>
  </si>
  <si>
    <t>Short-term effects of controlled burning and green-tree retention on beetle (Coleoptera) assemblages in managed boreal forests.</t>
  </si>
  <si>
    <t>315-332</t>
  </si>
  <si>
    <t xml:space="preserve">A BACI study in a coniferous forest in Finland from 2000-2001. This paper investigated the short-term impacts of controlled burning and the effects of tree retentiona level on beetle assemblages on burned and unburned sites. </t>
  </si>
  <si>
    <t>flight traps</t>
  </si>
  <si>
    <t>total non-saproxylic</t>
  </si>
  <si>
    <t>Effects of fuel-reduction treatments on pollinators in a Pinyon-juniper woodland (Arizona)</t>
  </si>
  <si>
    <t>Ecological Restoration</t>
  </si>
  <si>
    <t>28(2)</t>
  </si>
  <si>
    <t>119-121</t>
  </si>
  <si>
    <t xml:space="preserve">A CI study in a confierous mixed forest in Arizona, USA from 2005-2008. The goal of this study was to determine how bees and flies vary in abundance and species richness in response to different fuels-reduction treatment options versus untreated controls in a pinyon-juniper woodland. </t>
  </si>
  <si>
    <t>Kaibab National Forest</t>
  </si>
  <si>
    <t>2005-2073</t>
  </si>
  <si>
    <t>fuel reduction/fire management</t>
  </si>
  <si>
    <t>2 treatment reps per 6 sites, 3 transect each</t>
  </si>
  <si>
    <t>Bees</t>
  </si>
  <si>
    <t xml:space="preserve">Ant community responses to experimental fire and logging in a eucalypt forest of south-eastern Australia. </t>
  </si>
  <si>
    <t>258(2)</t>
  </si>
  <si>
    <t>A CI study of Eucalypt forest in New South Wales, Australia in Feb 2008 assessed the combined effects of selective logging and repeated prescribed fire on ants.</t>
  </si>
  <si>
    <t>New South Wales</t>
  </si>
  <si>
    <t>Eden
Burning Study Area</t>
  </si>
  <si>
    <t xml:space="preserve">Eden
Burning Study </t>
  </si>
  <si>
    <t>8-56ha</t>
  </si>
  <si>
    <t>10 ground traps + 10 tree traps</t>
  </si>
  <si>
    <t>Ants</t>
  </si>
  <si>
    <t>Pine-oak forest dynamics five years after ecological restoration treatments, Arizona, USA</t>
  </si>
  <si>
    <t>129-145</t>
  </si>
  <si>
    <t xml:space="preserve">A CI study in coniferous forest in Arizona, USA between 1997-2004  aimed to report  on re-measurement of permanent monitoring plots in 2004, the fifth year after treatment (which were to initiate the process of restoring the surface fire regime and open forest structure). </t>
  </si>
  <si>
    <t>10 x 1m2 quadrats per plot</t>
  </si>
  <si>
    <t xml:space="preserve">Burn </t>
  </si>
  <si>
    <t>Dry, fire-prone, coniferous forest.</t>
  </si>
  <si>
    <t>No. In the Black Mountain site, the control plot was last prescribe-burned 7 years before treatment and treatment plot burnt 14 years before treatment-For the other site, (Aranda), both treatment and control plots were last prescribe-burnt 4 years before treatment. We cannot ignore either of the two sites, because there would be no variance data for species richness of the other site (Table 1).</t>
  </si>
  <si>
    <t>Yes (4 separate burns, possibly 6 replicates for each treatment and site)</t>
  </si>
  <si>
    <t>Yes (4 vegetation types, likely well matched)</t>
  </si>
  <si>
    <t>Partly (quadrats were 1m2, appear to use a line transect around edge of each quadrat, unclear how many quadrats per plot- and whether quadrat size is appropriate to plot)</t>
  </si>
  <si>
    <t>Three of four sites were within a reserve.</t>
  </si>
  <si>
    <t>Yes (6 min point counts of birds seen, heard but not flying were 150m-200m apart. Assume that these are independent)</t>
  </si>
  <si>
    <t>Burning between 1989 or 1991 and 2001</t>
  </si>
  <si>
    <t>Yes (around 10%)</t>
  </si>
  <si>
    <t>Burning over 23 years either once every 1, 2, or 3 years</t>
  </si>
  <si>
    <t>8, 16 or 24</t>
  </si>
  <si>
    <t>Across 8 years (1983-1991). Blocks A,B had 5 sample points per transect, Block C had 6 points per transect</t>
  </si>
  <si>
    <t>Across 8 years (1983-1991).  2 sampling 147m2 subplots along each transect</t>
  </si>
  <si>
    <t>Across 8 years (1983-1991). 2 sampling 147m2 subplots along each transect</t>
  </si>
  <si>
    <t>6-7</t>
  </si>
  <si>
    <t>11-12</t>
  </si>
  <si>
    <t>Species richness per plot (per 2m2 also reported). all vascular plant species rooted in each quadrat</t>
  </si>
  <si>
    <t>Species richness per plot (per 2m2 also reported).all vascular plant species rooted in each quadrat</t>
  </si>
  <si>
    <t>Species Richness estimate.1 year pre and post fire also reported, 2 years pre and post fire extracted</t>
  </si>
  <si>
    <t>dry mass values</t>
  </si>
  <si>
    <t>NR (possibly used abundance and not cover)</t>
  </si>
  <si>
    <t>Partly (single burn with likely limited sampling within burn)</t>
  </si>
  <si>
    <t>Dry sclerophyl woodland nature reserve with previous prescribed burning. "The 1999 prescribed fire at both Black Mountain and Aranda consumed all leaf litter, charred fine woody litter such as bark fragments and gum nuts, and killed the tops of shrubs and herbaceous plants. Most coarse woody debris was wholly or partly ashed"- not sure whether this consitutes an intensive burn?</t>
  </si>
  <si>
    <t xml:space="preserve">Dry sclerophyll forest </t>
  </si>
  <si>
    <t xml:space="preserve">Medium validity </t>
  </si>
  <si>
    <t>Multiple ponderosa pine forests.</t>
  </si>
  <si>
    <t>9-13</t>
  </si>
  <si>
    <t>Mean 8.9; SE 1.2, range 4.0-18.0</t>
  </si>
  <si>
    <t>Notes</t>
  </si>
  <si>
    <t>Weyenberg and Pavlovic 2014</t>
  </si>
  <si>
    <t>No (potential for wildfire data to be included in Spr1 data)</t>
  </si>
  <si>
    <t>Unclear (possible that wildfire was one of the interventions)</t>
  </si>
  <si>
    <t>Partly (vegetation measurement methods and goals varied across different sites)</t>
  </si>
  <si>
    <t>Six sites in a US National park. Much of data was not usable becuase confounded by wildfire, even Spr1 data, because data were collected 1 year after the fire, and reporting is unclear, we cannot tell whether the SPr1 data may include summer data. The map indicates 6 burns (fire events), whilst the text says there were 8 burns. Species that occurred less than 4 times in the dataset were deleted (bottom of page 445)- this is a risk of bias issue</t>
  </si>
  <si>
    <t>Adequate data available?</t>
  </si>
  <si>
    <t xml:space="preserve">Oak woodland, not tilled. likely to be prescribed burning, due to wording in paper. </t>
  </si>
  <si>
    <t>Per Erik says we use the data in Table 1, but they are effectively corrected effect sizes, since they are in a LMM, containing other factors. We should exclude this in a sensitivity analysis</t>
  </si>
  <si>
    <t>No (butane flamethrower over small area (1.5m2) not representative of a prescribed burn- as advised by BGJ from advisory team)</t>
  </si>
  <si>
    <t>Yes (though hot and patchy, medium rate of spread and abstract suggests designed to emulate natural disturbance i.e. wildfire, advisory team (CB and BGJ) recommended to include based on the technique appearing to be similar to regular practice)</t>
  </si>
  <si>
    <t>Yes (Advisory team (CB) advised that it was appropriate that only inner 50cm2 was measured for understory vascular plant diversity- removing edge effects)</t>
  </si>
  <si>
    <t>Degraded (closed canopy) oak savannah</t>
  </si>
  <si>
    <t xml:space="preserve">Partly (fall burn was low/moderate, but spring burn was more intense) </t>
  </si>
  <si>
    <t>Partly (both were prescribed burns, fall significantly more severe than spring burn)</t>
  </si>
  <si>
    <t>Yes (a cooler fuel reduction burn)</t>
  </si>
  <si>
    <t>Oak-northern hardwood forest. 1/3 of basal area removed &lt;50y ago in Tompkins site. Fire intensity was varied greatly, mean was 500 kW/m</t>
  </si>
  <si>
    <t>No (3m2 not representative of a prescribed burn- according to advisory team (BGJ) advice on Wardle and Jonsson 2014) have removed from data extraction</t>
  </si>
  <si>
    <t>True replicates were the number of blocks x plots. Fig 1 indicates 5 unburned areas (labelled as "4")</t>
  </si>
  <si>
    <t>True replicates were the number of blocks x plots. Fig 1 indicates 5 burn areas, but not clear wheather fully independant</t>
  </si>
  <si>
    <t>Unclear (prescribed burn but lacking information on number of sequential burns, burn area, intensity etc.)</t>
  </si>
  <si>
    <t xml:space="preserve">Low validity </t>
  </si>
  <si>
    <t>Yes (All burns were conducted using the same procedures, but variation in weather conditions among burn days and in the volume and distribution of fuels within each treatment unit led
to variation in fire behavior and effects.)</t>
  </si>
  <si>
    <t>No (size of burn units was unclear- likely to be 1m2)</t>
  </si>
  <si>
    <t>Yes (blocked by species composition)</t>
  </si>
  <si>
    <t>Yes (spatially independent, in the same area)</t>
  </si>
  <si>
    <t>No (Control and intervention sites had been subject to prescribed burning regime (both burned in 1973 and 1992). The control site was then last burned in 1986 and intervention site was  burned in 1996- the 1996 fire was the intervention fire- confounded at baseline)</t>
  </si>
  <si>
    <t>Yes (only 1 ha of a larger area (14-18ha) was sampled)</t>
  </si>
  <si>
    <t>Yes (measured only 2 months after burning)</t>
  </si>
  <si>
    <t>Unclear (likely to be similar, but treatment allocation not clear)</t>
  </si>
  <si>
    <t>Yes (similar at baseline- paired)</t>
  </si>
  <si>
    <t>Yes (sites reportedly similar on basic factors, though lacking data on the treatment allocation)</t>
  </si>
  <si>
    <t>Yes (single burn of 25ha, 10 plots)</t>
  </si>
  <si>
    <t>Yes (single burn of 12 ha, 20 replicates)</t>
  </si>
  <si>
    <t>Unclear (no details on similarity of sites or on how treatments were allocated)</t>
  </si>
  <si>
    <t>Yes (highly likely to be similar although authors could not randomly assign one burn treatment in two of the blocks because positioning required consideration of preexisting firebreaks.)</t>
  </si>
  <si>
    <t>Yes (though experimental fires were extremely heterogeneous, with the proportion of a coupe burning during individual fires ranging from 6 to 90%)</t>
  </si>
  <si>
    <t>Routine (burned in 1992 and 2004- see text details for missing years etc)</t>
  </si>
  <si>
    <t>Frequent Burning ( burned in 1990, 1992, 2004, 2002, 2004, 2006- see text details for missing years etc)</t>
  </si>
  <si>
    <t xml:space="preserve">Yes (though due to logistical constraints and climatic conditions, the original management intent could not always be implemented, burn frequency was adjusted accordingly.) </t>
  </si>
  <si>
    <t xml:space="preserve">Two deciduous reserves, subject to herbivory by deer and gophers- unclear extent. </t>
  </si>
  <si>
    <t>Not typical of a prescribed burn (e.g. inappropriate temperature, very high intensity/severity)</t>
  </si>
  <si>
    <t>Typical of a precribed burn in terms of temperature, area, low intensity/severity of burn, or described as a prescribed burn and likely to be a typicl prescribed burn</t>
  </si>
  <si>
    <t>Yes (described as PB, but no details, likely to be typical)</t>
  </si>
  <si>
    <t>Yes (described as PB, lacking details, likely to be typical)</t>
  </si>
  <si>
    <t>1112-1123</t>
  </si>
  <si>
    <t>A BACI study in Eucalypt forest in New South Wales, Australia, between Autumn 2012- Autumn 2014 testing the interactive effects of fire and browsing by native herbivores on understorey plant diversity</t>
  </si>
  <si>
    <t>Booderee National Park</t>
  </si>
  <si>
    <t>High abundance of naturally occuring herbivores, The study also did exclosure- removal/ partial removal of herbivores</t>
  </si>
  <si>
    <t>Yes (burns removed around 5% of understory vegetation, didn’t reach canopy, scorch height 1.5-4m)</t>
  </si>
  <si>
    <t>Yes (4 blocks)</t>
  </si>
  <si>
    <t>Yes (randomised, blocked)</t>
  </si>
  <si>
    <t>36m2</t>
  </si>
  <si>
    <t>vascular plant species, data averaged across the 4 x 12m2 plots</t>
  </si>
  <si>
    <t>1.75</t>
  </si>
  <si>
    <t>Burn (5-7)</t>
  </si>
  <si>
    <t>Burn (17)</t>
  </si>
  <si>
    <t>outcomes were measured in 1998 and 1999</t>
  </si>
  <si>
    <t xml:space="preserve">outcomes were measured in 1998 and 1999 Ground vegetation. Area measured </t>
  </si>
  <si>
    <t>0- 396</t>
  </si>
  <si>
    <t>0- 36</t>
  </si>
  <si>
    <t>no. of independent replicates were the plots,</t>
  </si>
  <si>
    <t>Authors reported on 11 areas, though they only represented 9 independent burns. Plots ranged from between 5 to 33 years in experiemnt, and only fire frequency reported</t>
  </si>
  <si>
    <t>Authors reported 8 control areas, but there were only 6 independent control areas</t>
  </si>
  <si>
    <t>Authors reported on 3 areas, though they only represented 2 independent burns. Plots ranged from between 5 to 33 years in experiemnt, and only fire frequency reported</t>
  </si>
  <si>
    <t>Authors reported on 3 areas, though they only represented 2 independent burns.  Plots ranged from between 5 to 33 years in experiemnt, and only fire frequency reported</t>
  </si>
  <si>
    <t>Burn (8, 16 or 24)</t>
  </si>
  <si>
    <t>Burn in 2010</t>
  </si>
  <si>
    <t>Burn in 2009</t>
  </si>
  <si>
    <t>13-16</t>
  </si>
  <si>
    <t>13 -16</t>
  </si>
  <si>
    <t>25-28</t>
  </si>
  <si>
    <t>before data in 2008, burn in 2010,  after data in 2010</t>
  </si>
  <si>
    <t>before data in 2008.,burn in 2010, after data in 2011 (data also collected in 2010)</t>
  </si>
  <si>
    <t>Burn (1, fall)</t>
  </si>
  <si>
    <t>Burn (1, spring)</t>
  </si>
  <si>
    <t>Burn (1, autumn)</t>
  </si>
  <si>
    <t>Burn (1, Spring)</t>
  </si>
  <si>
    <t>may</t>
  </si>
  <si>
    <t>0- 60</t>
  </si>
  <si>
    <t>0- 15</t>
  </si>
  <si>
    <t>0- 24</t>
  </si>
  <si>
    <t>Burn (13)</t>
  </si>
  <si>
    <t>Burn (4-7)</t>
  </si>
  <si>
    <t>Subject to natural wildfire</t>
  </si>
  <si>
    <t>Mountain pine beetle outbreak was present in all stands, before and after burning. Not generalisable to other situations, due to confounding impact of mountain pine beetle presence (AT decision at 2nd meeting)</t>
  </si>
  <si>
    <t>High abundance of naturally occuring herbivores</t>
  </si>
  <si>
    <t>Yes ("underburnings", though lacking details and number burns applied to the sites is a little unclear)</t>
  </si>
  <si>
    <t>authors state that indirect fire effects related to environmental changes and changes in resource availability were largely responsible for the understory vegetation patterns</t>
  </si>
  <si>
    <t>some non-livestock grazing (subject to herbivory by deer and gophers- unclear extent.); burns undertaken across very different lengths of time (between 4-33 years) and prolonged drought for a few years across the period</t>
  </si>
  <si>
    <t>Does treatment allocation account for spatial heterogenity?  (e.g. blocked or randomised) and/or Intervention and comparator sites well-matched i.e. similar at baseline (e.g. aspect, soil type, forest type)</t>
  </si>
  <si>
    <t>No severely confounding factors present (factors likely to confound the effect of the intervention on outcome)? apart from those present at baseline (e.g. other interventions)</t>
  </si>
  <si>
    <t>Yes (northern area burned in both sites, no reason supplied for choice, but likely to be to be consistent across sites. Spread across contour)</t>
  </si>
  <si>
    <t>Yes (treatment allocation information not provided, although forests  highly likely to be similar)</t>
  </si>
  <si>
    <t>Yes (no indication of severe confounding)</t>
  </si>
  <si>
    <t>calculated by JE</t>
  </si>
  <si>
    <t>"Mean difference". Used only control data, before and after (2013)</t>
  </si>
  <si>
    <t>Yes (replicated burns- though across different years)</t>
  </si>
  <si>
    <t>Partly (heavily logged previously)</t>
  </si>
  <si>
    <t>Partly (heavily logged in last 50y)</t>
  </si>
  <si>
    <t>Shrubs and saplings (&lt;6cm dbh, higher than 50cm). "Simpsons index of species dominance , C, Whittaker 1975"  was ignored.</t>
  </si>
  <si>
    <t>Raw mean difference. # indep replicates is the  number of sites. I have not considered the two subplots, measured either side of the stream as independent replicates</t>
  </si>
  <si>
    <t>Least squares mean difference. We have assumed that the 6 plots were independent of each other, giving 12 independent replicates. 2 burn units, 6 plots</t>
  </si>
  <si>
    <t>Least squares mean difference. We have assumed that the 6 plots were independent of each other, giving 24 independent replicates.4 control units, 6 plots</t>
  </si>
  <si>
    <t>unclearly reported number of replicates, but various indicators in report suggest it is the stand level</t>
  </si>
  <si>
    <t>non-saproxylic species</t>
  </si>
  <si>
    <t xml:space="preserve">Oribatei. Brouillion diversity index is similar to Shannon </t>
  </si>
  <si>
    <t xml:space="preserve">First order jacknife estimator for species richness. Per -Erik said this was a suitable approach </t>
  </si>
  <si>
    <t>percent cover. Authors reported SE, JE calculated SD</t>
  </si>
  <si>
    <t>2006 ignoring data from fig 2 (effect size data is in percentage)</t>
  </si>
  <si>
    <t>2005 ignoring data from fig 2 (effect size data is in percentage)</t>
  </si>
  <si>
    <t>email from authors</t>
  </si>
  <si>
    <t>14-15</t>
  </si>
  <si>
    <t>c. 4</t>
  </si>
  <si>
    <t>Woody species richness (sub-canopy trees, shrubs and saplings). Sampling was carried out in 2007, which could have been before or after the fall 2007 burn, plots burned up to every 36 months</t>
  </si>
  <si>
    <t>0-36</t>
  </si>
  <si>
    <t>3, 7, or 11</t>
  </si>
  <si>
    <t>Unclear exactly when burning began. Based on date of paper in 2002 and statement that burning was for at least 16 years, using 1987 as the first burn. Using conservative estimates, and a study period of 11y. Data also presented by season. . Possibly 2 species were pyro/sapro, Xenylla grisea and Isotoma viridis</t>
  </si>
  <si>
    <t>Burn (11)</t>
  </si>
  <si>
    <t># indep replicates is the number of burn units(plots). Using 1998 data only</t>
  </si>
  <si>
    <t>0-6</t>
  </si>
  <si>
    <t>113-114</t>
  </si>
  <si>
    <t>91-92</t>
  </si>
  <si>
    <t>67-68</t>
  </si>
  <si>
    <t>40-41</t>
  </si>
  <si>
    <t>19-20</t>
  </si>
  <si>
    <t>7-8</t>
  </si>
  <si>
    <t>15-17</t>
  </si>
  <si>
    <t>Biennial burns (5-7) on same burn unit. Using 2002 (last data point)</t>
  </si>
  <si>
    <t>data were pooled across the two sites, the replicate number is 2- see text in analysis methods. There were also two observations per year- it appears that the highest number of spp. Observed was taken forwards. I have not considered the multiple observations in this data extraction. Though data was also presented separately for each burn and control site, they were not paired.</t>
  </si>
  <si>
    <t xml:space="preserve"> the replicate number is 2- see text in analysis methods. There were also two observations per year- it appears that the highest number of spp. Observed was taken forwards. I have not considered the multiple observations in this data extraction. Though data was also presented separately for each burn and control site, they were not paired.</t>
  </si>
  <si>
    <t>No "Only taxa comprising 3% of the total catch
were considered abundant enough to analyze statistically
(Gauch 1982, Weaver 1995)." Only 25 most abundant spider species used.</t>
  </si>
  <si>
    <t>AT (Bege) advised to give low validity on the basis that "It is not at all unlikely that the “tail” of low frequent species could differ significantly as a result of the fire."</t>
  </si>
  <si>
    <t>AT (Bege) advised this was partly appropriate for the intervention</t>
  </si>
  <si>
    <t>No (large variation in fire intensity. Prescribed stand-replacement fire killed up to 30% of overstory, Elliott et al 1999- this was never published)</t>
  </si>
  <si>
    <t>AT (Bege) advised this as low validity on the basis of intervention</t>
  </si>
  <si>
    <t>AT (Bege) advised intervention area was not appropriate to compare with other studies</t>
  </si>
  <si>
    <t>No (prescribed burn but lacking information on intensity of burns, burn areas were 1m2 each- fig 1)</t>
  </si>
  <si>
    <t>No (6x6m plots. Burned with a propane torch in April 2003 until stems and leaves were no longer green, then new growth was burned again in June 2003 and once again burned in July 2003. In February 2004, three of the four plots were burned again.)</t>
  </si>
  <si>
    <t>N- unknown number of repeated burns (burn frequency). Unclear whether the 5 burns shown in fig 1 were independent. Advisory team think we should include in meta-analysis</t>
  </si>
  <si>
    <t>partly (a single burn with 10 samples per burn)</t>
  </si>
  <si>
    <t>103 (5)</t>
  </si>
  <si>
    <t>A CI study in mixed forest in California, USA in 2009 aimed to compare plant responses to disturbance by wildfire and the interaction with fuel reduction treatments</t>
  </si>
  <si>
    <t>120.58W</t>
  </si>
  <si>
    <t>40.14N</t>
  </si>
  <si>
    <t>Antelope complex</t>
  </si>
  <si>
    <t>12.57m2</t>
  </si>
  <si>
    <t xml:space="preserve">JE calculated </t>
  </si>
  <si>
    <t>TotalDiversityData_Eales</t>
  </si>
  <si>
    <t>25m×52m area between transects</t>
  </si>
  <si>
    <t># indep replicates is the no. of burns</t>
  </si>
  <si>
    <t>Number of replicates used by authors appears to be 5 e.g. "In Yosemite,
forest burn sites had a mean of twice as many butterfly
species as unburned forest controls"</t>
  </si>
  <si>
    <t xml:space="preserve">Number of replicates used by authors appears to be 5 </t>
  </si>
  <si>
    <t>Number of replicates used by authors appears to be 7 e.g. "In Yosemite,
forest burn sites had a mean of twice as many butterfly
species as unburned forest controls"</t>
  </si>
  <si>
    <t>Information from emails from Jens Stevens</t>
  </si>
  <si>
    <t>treatment (prescribed burn) was in 2004. Information on spatial scale and set up by email from Jens Stevens</t>
  </si>
  <si>
    <t>Data separated for spring and summer herbs-JE has combined them. Just using post-treatment data</t>
  </si>
  <si>
    <t>Ignoring pre-burn data (40 reps) as it is a different number of replicates to post burn.</t>
  </si>
  <si>
    <t>Ignoring pre-burn data (36 reps) as it is a different number of replicates to post burn.</t>
  </si>
  <si>
    <t># indep replicates is the number of unburn units(plots). Using 1998 data only</t>
  </si>
  <si>
    <t>True replicates # = 3 burns. Not explicit but from the SD reported, assuming that authors combined species richness data within burn units, so n=3</t>
  </si>
  <si>
    <t>True replicates # = 3 burns. Not explicit but from the SD reported, assuming that authors combined species richness data within burn units, so n=4</t>
  </si>
  <si>
    <t>True replicates # = 3 burns. Not explicit but from the SD reported, assuming that authors combined species richness data within burn units, so n=5</t>
  </si>
  <si>
    <t>True replicates # = 3 burns. Not explicit but from the SD reported, assuming that authors combined species richness data within burn units, so n=6</t>
  </si>
  <si>
    <t>True replicates # = 3 burns. Not explicit but from the SD reported, assuming that authors combined species richness data within burn units, so n=7</t>
  </si>
  <si>
    <t>True replicates # = 3 burns. Not explicit but from the SD reported, assuming that authors combined species richness data within burn units, so n=8</t>
  </si>
  <si>
    <t>True replicates # = 4 unburned area. Not explicit but from the SD reported, assuming that authors combined species richness data within areas, so n=4. Block C had two control plots (2 extra transects)</t>
  </si>
  <si>
    <t>no of traps</t>
  </si>
  <si>
    <t>no of fences</t>
  </si>
  <si>
    <t>Data from 2008. Stated that data were summed per unit for species richness</t>
  </si>
  <si>
    <t>13-14</t>
  </si>
  <si>
    <t>Fig 10 mean and SD calculated using an average of the 39 sites.</t>
  </si>
  <si>
    <t>Fig 4 mean and SD calculated using an average of the 39 sites.</t>
  </si>
  <si>
    <t>we used separate plots within each site as indepedant replicates, as this was most representative of the situation across treatment and control sties</t>
  </si>
  <si>
    <t>36 plots total in each block, mix of 3 IMI classes</t>
  </si>
  <si>
    <t>36</t>
  </si>
  <si>
    <t>6 sites per treatment, 1 transect each (5 year post burn)</t>
  </si>
  <si>
    <t>"Richness, diversity index were calculated for each plot within each year"</t>
  </si>
  <si>
    <t>2 tally circles in 5 treatment reps.  "Mean # of species per 214m2 sampling circle"</t>
  </si>
  <si>
    <t xml:space="preserve">summed across core samples, and averaged across restoration treatment. </t>
  </si>
  <si>
    <t xml:space="preserve">1 control area removed from analysis as outlier; summed across core samples, and averaged across restoration treatment. </t>
  </si>
  <si>
    <t>"A minimum of 8 … samples were collected and comosited from each plot"</t>
  </si>
  <si>
    <t>"All metrics were averaged across plots at the treatment level"</t>
  </si>
  <si>
    <t>unclearly reported but authors report data for diffferent dates when reporting about the richness and diversity data so must assume that data from all dates were treated as if separate replicates</t>
  </si>
  <si>
    <t>independent replicates assumed to be at the plot level</t>
  </si>
  <si>
    <t>Comment below table 2 indicates that sub samples were composited. We assume that each of the plots is independent</t>
  </si>
  <si>
    <t>It appears that authors used the number of plots as the replicate number- all are species richness, and SE are in the same region. true replicates was number of burns x no of plots</t>
  </si>
  <si>
    <t>Data from 2011. authors appear to use standardised data and report for each burn unit</t>
  </si>
  <si>
    <t>Tompkins (Appalachian Highlands)</t>
  </si>
  <si>
    <t>McGee et al (1995)</t>
  </si>
  <si>
    <t>we assume the number of true replicates was the number of plots per treatment</t>
  </si>
  <si>
    <t xml:space="preserve">Authors state 10 replicates per treatment. True replicates were the number of independent burns </t>
  </si>
  <si>
    <t>11 ha</t>
  </si>
  <si>
    <t>It seems likely that 11 plots were used as the replicate number. True replicate number was the bnumber of plots in control or burn area</t>
  </si>
  <si>
    <t>It seems likely that 10 plots were used as the replicate number. True replicate number was the bnumber of plots in control or burn area</t>
  </si>
  <si>
    <t xml:space="preserve">EMAILED COLLETT ON 21 Sept to ask why 2 control sites if only one is described in the paper methods. No of true replicates was number of blocks </t>
  </si>
  <si>
    <t>EMAILED COLLETT ON 21 Sept to ask why 2 control sites in Table 5 if only one is described in the paper methods. 41 sampling dates</t>
  </si>
  <si>
    <t xml:space="preserve">Plots were stated to be far apart and the burn areas were large.True replicates are no of plots x blocks x burn area. </t>
  </si>
  <si>
    <t>True replicates are no of plots in the burn area- stated to be 10 in Table 1</t>
  </si>
  <si>
    <t># indep replicates was the number of plots in each treatment unit .  Quadrat data (10 quadrats) were summed</t>
  </si>
  <si>
    <t># indep replicates was the number of plots in each treatment unit . Quadrat data (10 quadrats) were summed</t>
  </si>
  <si>
    <t>Tuininga and Dighton (2004) B</t>
  </si>
  <si>
    <t>Greenwood  State Forest</t>
  </si>
  <si>
    <t>Greenwood State Forest</t>
  </si>
  <si>
    <t>Huntzinger (2003) A (Ashland)</t>
  </si>
  <si>
    <t>Huntzinger (2003 B (Yosemite)</t>
  </si>
  <si>
    <t>Rogue River National Forest (Ashland Watershed Reserve)</t>
  </si>
  <si>
    <t>38.92 N</t>
  </si>
  <si>
    <t>122.69W</t>
  </si>
  <si>
    <t>359.3-358.3 W</t>
  </si>
  <si>
    <t>334.92 W</t>
  </si>
  <si>
    <t>119.6 W</t>
  </si>
  <si>
    <t>122.69 W</t>
  </si>
  <si>
    <t>42.17 N</t>
  </si>
  <si>
    <t>37.77 N</t>
  </si>
  <si>
    <t>41.0-42.2 N</t>
  </si>
  <si>
    <t>38.16 N</t>
  </si>
  <si>
    <t>79.82 W</t>
  </si>
  <si>
    <t>41.8 N</t>
  </si>
  <si>
    <t>88.1 W</t>
  </si>
  <si>
    <t>George Washington and Jefferson National Forest</t>
  </si>
  <si>
    <t>Welch et al (2000) A (GWWS Autumn)</t>
  </si>
  <si>
    <t>Welch et al (2000) B (GWWS Spring)</t>
  </si>
  <si>
    <t>Greenberg et al (2016) A (BACI)</t>
  </si>
  <si>
    <t>Greenberg et al (2016) B (BA)</t>
  </si>
  <si>
    <t>Scudieri et al (2010) A (Chimney spring)</t>
  </si>
  <si>
    <t>Scudieri et al (2010) B (Limestone flats)</t>
  </si>
  <si>
    <t>Martikainen et al (2006)</t>
  </si>
  <si>
    <t>Blake (2005)</t>
  </si>
  <si>
    <t>41.88 N</t>
  </si>
  <si>
    <t>43.70 N</t>
  </si>
  <si>
    <t>121.62 W</t>
  </si>
  <si>
    <t>41.25-41.50 N</t>
  </si>
  <si>
    <t>70.40-70.80 W</t>
  </si>
  <si>
    <t>Abbott et al (1984)</t>
  </si>
  <si>
    <t>Neumann et al (1995)</t>
  </si>
  <si>
    <t>Dodson et al (2007)</t>
  </si>
  <si>
    <t>Smith et al (2005)</t>
  </si>
  <si>
    <t>Busse et al (2009)</t>
  </si>
  <si>
    <t>Kerns et al (2011)</t>
  </si>
  <si>
    <t>Nelson et al (2008)</t>
  </si>
  <si>
    <t>Dodson et al (2008)</t>
  </si>
  <si>
    <t>Fulé et al (2005)</t>
  </si>
  <si>
    <t>Collins et al (2007)</t>
  </si>
  <si>
    <t>Apigian et al (2006)</t>
  </si>
  <si>
    <t>Camann et al (2008)</t>
  </si>
  <si>
    <t>Camann et al (2012)</t>
  </si>
  <si>
    <t>Lettow et al (2014)</t>
  </si>
  <si>
    <t xml:space="preserve">112.20 - 112.13 W  </t>
  </si>
  <si>
    <t>43.50 N</t>
  </si>
  <si>
    <t>86.21 W</t>
  </si>
  <si>
    <t>43.84 N; 43.84 N; 43.85 N</t>
  </si>
  <si>
    <t>121.32 W; 121.34 W; 121.35 W</t>
  </si>
  <si>
    <t>63.30 N</t>
  </si>
  <si>
    <t>Hämäläinen et al (2015)</t>
  </si>
  <si>
    <t>Strahan et al (2015)</t>
  </si>
  <si>
    <t>Nyoka (2010)</t>
  </si>
  <si>
    <t xml:space="preserve">Stevens et al (2015) </t>
  </si>
  <si>
    <t>Stevens et al (2015)</t>
  </si>
  <si>
    <t>112.13 W</t>
  </si>
  <si>
    <t>329.37 W</t>
  </si>
  <si>
    <t>322.77 N</t>
  </si>
  <si>
    <t>210.37 W</t>
  </si>
  <si>
    <t>324.84 N</t>
  </si>
  <si>
    <t>209.33 W</t>
  </si>
  <si>
    <t>36.97 N; 37.86 N</t>
  </si>
  <si>
    <t>34.17 N</t>
  </si>
  <si>
    <t>109.63 W</t>
  </si>
  <si>
    <t>119.02 W; 119.54 W</t>
  </si>
  <si>
    <t>625-700</t>
  </si>
  <si>
    <t>Hutchinson et al (2005)</t>
  </si>
  <si>
    <t>Rodriguez and Kouki (2015)</t>
  </si>
  <si>
    <t>Hurteau et al (2008)</t>
  </si>
  <si>
    <t>Outcome data (RichS) after 8 months presented in Camann et al 2008</t>
  </si>
  <si>
    <t>Linked to Dodson and Peterson 2010 which is a publication from the same study but has no new data</t>
  </si>
  <si>
    <t>Tuininga and Dighton (2004) A (Greenwood)</t>
  </si>
  <si>
    <t xml:space="preserve">Bêche, L. A., Stephens, S. L., &amp; Resh, V. H.  </t>
  </si>
  <si>
    <t xml:space="preserve">Hyvärinen, E., Kouki, J., &amp; Martikainen, P. </t>
  </si>
  <si>
    <t>Hyvärinen et al (2009)</t>
  </si>
  <si>
    <t xml:space="preserve">Blake, J. G. </t>
  </si>
  <si>
    <t xml:space="preserve">Lazaruk, L. W., Kernaghan, G., Macdonald, S. E., &amp; Khasa, D. </t>
  </si>
  <si>
    <t>Martikainen, P., Kouki, J., &amp; Heikkala, O.</t>
  </si>
  <si>
    <t xml:space="preserve">Toivanen, T., &amp; Kotiaho, J. S. </t>
  </si>
  <si>
    <t>Scudieri, C. A., Sieg, C. H., Haase, S. M., Thode, A. E., &amp; Sackett, S. S.</t>
  </si>
  <si>
    <t xml:space="preserve">Huntzinger, M. </t>
  </si>
  <si>
    <t>Bowles, M. L., Jacobs, K. A., &amp; Mengler, J. L.</t>
  </si>
  <si>
    <t>Brand, R. H.</t>
  </si>
  <si>
    <t>Scharenbroch, B. C., Nix, B., Jacobs, K. A., &amp; Bowles, M. L.</t>
  </si>
  <si>
    <t>Henning, S. J., &amp; Dickmann, D. I.</t>
  </si>
  <si>
    <t xml:space="preserve">Peterson, D. W., &amp; Reich, P. B. </t>
  </si>
  <si>
    <t xml:space="preserve">Raybuck, A. L., Moorman, C. E., Greenberg, C. H., DePerno, C. S., Gross, K., Simon, D. M., &amp; Warburton, G. S. </t>
  </si>
  <si>
    <t xml:space="preserve">Hutchinson, T. F., Boerner, R. E., Sutherland, S., Sutherland, E. K., Ortt, M., &amp; Iverson, L. R. </t>
  </si>
  <si>
    <t xml:space="preserve">Kerns, B. K., Thies, W. G., &amp; Niwa, C. G. </t>
  </si>
  <si>
    <t xml:space="preserve">Russell, R. E., Royle, J. A., Saab, V. A., Lehmkuhl, J. F., Block, W. M., &amp; Sauer, J. R. </t>
  </si>
  <si>
    <t xml:space="preserve">Cook, J. E., Jensen, N., &amp; Galbraith, B. </t>
  </si>
  <si>
    <t xml:space="preserve">Zhang, J., Ritchie, M. W., &amp; Oliver, W. W. </t>
  </si>
  <si>
    <t xml:space="preserve">Casals, P., Valor, T., Besalú, A., &amp; Molina-Terrén, D. </t>
  </si>
  <si>
    <t>Ducherer, K., Bai, Y., Thompson, D., &amp; Broersma, K. (</t>
  </si>
  <si>
    <t>King, R.</t>
  </si>
  <si>
    <t>Fulé et al (2001)</t>
  </si>
  <si>
    <t>Fulé, P. Z., Springer, J. D., Huffman, D. W., &amp; Covington, W. W.</t>
  </si>
  <si>
    <t>Nuzzo, V. A., McClain, W., &amp; Strole, T.</t>
  </si>
  <si>
    <t xml:space="preserve">Taft, J. B., Schwartz, M. W., &amp; Philippe, L. R. </t>
  </si>
  <si>
    <t xml:space="preserve">Tuininga, A. R., &amp; Dighton, J. </t>
  </si>
  <si>
    <t xml:space="preserve">Blake, J. G., &amp; Schuette, B. </t>
  </si>
  <si>
    <t xml:space="preserve">Jacobs, K. A., Nix, B., &amp; Scharenbroch, B. C. </t>
  </si>
  <si>
    <t xml:space="preserve">Welch, N. T., Waldrop, T. A., &amp; Buckner, E. R. </t>
  </si>
  <si>
    <t>Greenberg, C. H., Moorman, C. E., Raybuck, A. L., Sundol, C., Keyser, T. L., Bush, J., Simon D.M. &amp; Warburton, G. S.</t>
  </si>
  <si>
    <t xml:space="preserve">McGee, G. G., Leopold, D. J., &amp; Nyland, R. D. </t>
  </si>
  <si>
    <t xml:space="preserve">Nunes, L., Silva, I., Pité, M., Rego, F., Leather, S., &amp; Serrano, A. </t>
  </si>
  <si>
    <t xml:space="preserve">Reazin, C., Morris, S., Smith, J. E., Cowan, A. D., &amp; Jumpponen, A. </t>
  </si>
  <si>
    <t xml:space="preserve">Berk, L. C. </t>
  </si>
  <si>
    <t xml:space="preserve">White, A. S. </t>
  </si>
  <si>
    <t>Neill, C., Von Holle, B., Kleese, K., Ivy, K. D., Colllins, A. R., Treat, C., &amp; Dean, M.</t>
  </si>
  <si>
    <t xml:space="preserve">Neumann, F. G., Collett, N. G., &amp; Tolhurst, K. G. </t>
  </si>
  <si>
    <t>Myers, J. A., Chase, J. M., Crandall, R. M., &amp; Jiménez, I. (</t>
  </si>
  <si>
    <t xml:space="preserve">Abbott, I., Heurck, P. V., &amp; Wong, L. </t>
  </si>
  <si>
    <t>Rodríguez, A., &amp; Kouki, J.</t>
  </si>
  <si>
    <t xml:space="preserve">Hurteau, S. R., Sisk, T. D., Block, W. M., &amp; Dickson, B. G. </t>
  </si>
  <si>
    <t xml:space="preserve">Fulé, P. Z., Laughlin, D. C., &amp; Covington, W. W. </t>
  </si>
  <si>
    <t xml:space="preserve">Collins, B. M., Moghaddas, J. J., &amp; Stephens, S. L. </t>
  </si>
  <si>
    <t xml:space="preserve">Apigian, K. O., Dahlsten, D. L., &amp; Stephens, S. L. </t>
  </si>
  <si>
    <t xml:space="preserve">Camann, M. A., Gillette, N. E., Lamoncha, K. L., &amp; Mori, S. R. </t>
  </si>
  <si>
    <t xml:space="preserve">Camann, M. A., Lamoncha, K. L., &amp; Gillette, N. E. </t>
  </si>
  <si>
    <t>Lettow, M. C., Brudvig, L. A., Bahlai, C. A., &amp; Landis, D. A.</t>
  </si>
  <si>
    <t xml:space="preserve">Dodson, E. K., Metlen, K. L., &amp; Fiedler, C. E. </t>
  </si>
  <si>
    <t xml:space="preserve">Metlen, K. L., &amp; Fiedler, C. E. </t>
  </si>
  <si>
    <t xml:space="preserve">Lombardo, J. A., &amp; McCarthy, B. C. </t>
  </si>
  <si>
    <t xml:space="preserve">Smith, J. E., McKay, D., Brenner, G., McIver, J. I. M., &amp; Spatafora, J. W. </t>
  </si>
  <si>
    <t xml:space="preserve">Busse, M. D., Cochran, P. H., Hopkins, W. E., Johnson, W. H., Riegel, G. M., Fiddler, G. O., Ratcliff, A.W. &amp; Shestak, C. J. </t>
  </si>
  <si>
    <t>Kerns, B. K., Buonopane, M., Thies, W. G., &amp; Niwa, C.</t>
  </si>
  <si>
    <t>Nelson, C. R., Halpern, C. B., &amp; Agee, J. K.</t>
  </si>
  <si>
    <t xml:space="preserve">Dodson, E. K., Peterson, D. W., &amp; Harrod, R. J. </t>
  </si>
  <si>
    <t>Royo, A. A., Collins, R., Adams, M. B., Kirschbaum, C., &amp; Carson, W. P.</t>
  </si>
  <si>
    <t>Nuttle, T., Royo, A. A., Adams, M. B., &amp; Carson, W. P.</t>
  </si>
  <si>
    <t xml:space="preserve">Gundale, M. J., Metlen, K. L., Fiedler, C. E., &amp; DeLuca, T. H. </t>
  </si>
  <si>
    <t xml:space="preserve">Huffman, D. W., Stoddard, M. T., Springer, J. D., Crouse, J. E., &amp; Chancellor, W. W. </t>
  </si>
  <si>
    <t xml:space="preserve">Larsen, A. L., Jacquot, J. J., Keenlance, P. W., &amp; Keough, H. L. </t>
  </si>
  <si>
    <t xml:space="preserve">Hämäläinen, A., Kouki, J., &amp; Lõhmus, P. </t>
  </si>
  <si>
    <t xml:space="preserve">Strahan, R. T., Stoddard, M. T., Springer, J. D., &amp; Huffman, D. W. </t>
  </si>
  <si>
    <t>Hurteau, M., &amp; North, M.</t>
  </si>
  <si>
    <t xml:space="preserve">Hyvärinen, E., Kouki, J., Martikainen, P., &amp; Lappalainen, H. </t>
  </si>
  <si>
    <t>Hyvärinen et al (2005)</t>
  </si>
  <si>
    <t xml:space="preserve">Nyoka, S. </t>
  </si>
  <si>
    <t xml:space="preserve">Andersen, A. N., Penman, T. D., Debas, N., &amp; Houadria, M. </t>
  </si>
  <si>
    <t>Foster, C. N., Barton, P. S., Sato, C. F., MacGregor, C. I., &amp; Lindenmayer, D. B.</t>
  </si>
  <si>
    <t xml:space="preserve">Stevens, J. T., Safford, H. D., Harrison, S., &amp; Latimer, A. M. </t>
  </si>
  <si>
    <t>Western North American Naturalist</t>
  </si>
  <si>
    <t>Journal of Vegetation Science</t>
  </si>
  <si>
    <t>In: Southwestern Rare and Endangered Plants: Proceedings of the Third Conference</t>
  </si>
  <si>
    <t>Understory fuel load and structure eight to nine years after prescribed burning in Mediterranean pine forests</t>
  </si>
  <si>
    <t>Dynamic responses of a British Columbian forest-grassland interface to prescribed burning</t>
  </si>
  <si>
    <t>Response of a rare endemic, Penstemon clutei, to burning and reduced belowground competition</t>
  </si>
  <si>
    <t>Effects of single burn events on degraded oak savanna</t>
  </si>
  <si>
    <t>Fire impact on groundlayer flora in a sand forest 1990-1994</t>
  </si>
  <si>
    <t>Fire impact on groundlayer flora in a sand forest 1990-1995</t>
  </si>
  <si>
    <t>Fire impact on groundlayer flora in a sand forest 1990-1996</t>
  </si>
  <si>
    <t>Fire impact on groundlayer flora in a sand forest 1990-1997</t>
  </si>
  <si>
    <t>Fire impact on groundlayer flora in a sand forest 1990-1998</t>
  </si>
  <si>
    <t>Fire impact on groundlayer flora in a sand forest 1990-1999</t>
  </si>
  <si>
    <t>Vegetation ecology of flatwoods on the Illinoian till plain</t>
  </si>
  <si>
    <t>Changes in ectomycorrhizal communities and nutrient availability following prescribed burns in two upland pine-oak forests in the New Jersey pine barrens</t>
  </si>
  <si>
    <t>The Effects of Prescribed Burning on Soil and Litter Invertebrate Diversity and Abundance in an Illinois Oak Woodland</t>
  </si>
  <si>
    <t>Response of southern Appalachian table mountain pine (Pinus pungens) and pitch pine (P-rigida) stands to prescribed burning</t>
  </si>
  <si>
    <t>Reptile and amphibian response to oak regeneration treatments in productive southern Appalachian hardwood forest.</t>
  </si>
  <si>
    <t>Understory response to springtime prescribed fire in two New York transition oak forests</t>
  </si>
  <si>
    <t>Carabid (Coleoptera) community changes following prescribed burning and the potential use of carabids as indicators species to evaluate the effects of fire management in Mediterranean regions.</t>
  </si>
  <si>
    <t>Historical influences on the vegetation and soils of the Martha's Vineyard, Massachusetts coastal sandplain: Implications for conservation and restoration</t>
  </si>
  <si>
    <t>Nitrogen spatial heterogeneity influences diversity following restoration in a ponderosa pine forest, Montana.</t>
  </si>
  <si>
    <t>Understory plant community responses to hazardous fuels reduction treatments in pinyon-juniper woodlands of Arizona, USA</t>
  </si>
  <si>
    <t>Effects of an ongoing oak savanna restoration on small mammals in Lower Michigan</t>
  </si>
  <si>
    <t>Potential biodiversity impacts of forest biofuel harvest: Lichen assemblages on stumps and slash of Scots pine</t>
  </si>
  <si>
    <t>Mixed-conifer understory response to climate change, nitrogen, and fire.</t>
  </si>
  <si>
    <t>Increasing weight of evidence that thinning and burning treatments help restore understory plant communities in ponderosa pine forests</t>
  </si>
  <si>
    <t>Synergistic interactions between fire and browsing drive plant diversity in a forest understorey</t>
  </si>
  <si>
    <t>Forest disturbance accelerates thermophilization of understory plant communities</t>
  </si>
  <si>
    <t>188-197</t>
  </si>
  <si>
    <t>Y (Fulé et al 2005)</t>
  </si>
  <si>
    <t># indep replicates was the number of plots in each treatment unit. Quadrat data (10 quadrats) were summed. Fulé et al 2002 was a linked paper with data 10 months after the fire</t>
  </si>
  <si>
    <t>JJT/JE</t>
  </si>
  <si>
    <t>LTER (Long Term Ecological Research)</t>
  </si>
  <si>
    <t>FFS (Fire and Fire Surrogate study)</t>
  </si>
  <si>
    <t>FFS (Fire and Fire Surrogate study), Northern Rocky Mountains study area</t>
  </si>
  <si>
    <t>FFS (Fire and Fire Surrogate study), Ohio Hills study area</t>
  </si>
  <si>
    <t>FFS (Fire and Fire Surrogate study), Blue Mountains study area</t>
  </si>
  <si>
    <t>FFS (Fire and Fire Surrogate study), Central Sierra Nevada study area</t>
  </si>
  <si>
    <t>FFS (Fire and Fire Surrogate study), Northeastern Cascades study area</t>
  </si>
  <si>
    <t>FFS (Fire and Fire Surrogate study), University of Montana</t>
  </si>
  <si>
    <t>Hamalainen (2015), Hyvärinen et al (2009), Rodriguez and Kouki (2015) and Martikainen et al (2006) same site, assessing different outcomes</t>
  </si>
  <si>
    <t>Hyvärinen et al (2005), Hyvärinen et al (2009) , Hämäläinen et al (2015) and Martikainen et al (2006) same site, assessing different outcomes</t>
  </si>
  <si>
    <t>Hamalainen (2015), Hyvärinen et al (2005), Rodriguez and Kouki (2015), Martikainen et al (2006) same site, assessing different outcomes</t>
  </si>
  <si>
    <t>Aho (2006), which presents data from the first summer after burning and is in the narrative synthesis only</t>
  </si>
  <si>
    <t xml:space="preserve">Coconino and Kaibab National Forests </t>
  </si>
  <si>
    <t>Nyoka 2010, same site, different study design, set up and outcomes</t>
  </si>
  <si>
    <t>Huffman 2013, different study design, set up and outcomes</t>
  </si>
  <si>
    <t>Linked to Fulé et al 2002, which presents data for the first 10 months and in the narrative synthesis only</t>
  </si>
  <si>
    <t>Hurteau and North (2008) A- Teakettle</t>
  </si>
  <si>
    <t>Hurteau and North (2008) B- Yosemite</t>
  </si>
  <si>
    <t>Bowles et al (2007), Brand (2002), Jacobs et al (2015), same site, different burn units</t>
  </si>
  <si>
    <t>Scharenbroch et al (2012), Brand (2002), Jacobs et al (2015), same site, different burn units</t>
  </si>
  <si>
    <t>Bowles et al (2007), Schaerenbroch et al (2012), Jacobs et al (2015), same site, different burn units</t>
  </si>
  <si>
    <t>Bowles et al (2007), Schaerenbroch et al (2012), Brand (2002) same site, different burn units</t>
  </si>
  <si>
    <t>Dodson and Fielder 2006, Metlen and Fiedler 2006 and Gundale 2006,  from the same study site, this publication present CI data and for different taxa</t>
  </si>
  <si>
    <t>Dodson and Fielder 2006 and Gundale (2006), presents the overall taxonomica data</t>
  </si>
  <si>
    <t>Dodson et al 2007, Dodson and Fiedler (2006) and Metlan and Fiedler (2006),same intervention and sites, different outcome and sampling time</t>
  </si>
  <si>
    <t>Royo et al (2010)</t>
  </si>
  <si>
    <t>Nuttle et al (2013)</t>
  </si>
  <si>
    <t>Camann et al (2008),  same study, different outcome data</t>
  </si>
  <si>
    <t>Camann et al (2012), same study, different outcome data</t>
  </si>
  <si>
    <t>Winter</t>
  </si>
  <si>
    <t>Raybuck et al (2012)</t>
  </si>
  <si>
    <t>Kerns et al (2006)</t>
  </si>
  <si>
    <t>Russell et al (2009)</t>
  </si>
  <si>
    <t>Lazaruk et al (2005)</t>
  </si>
  <si>
    <t>3.5</t>
  </si>
  <si>
    <t>Bêche et al (2005)</t>
  </si>
  <si>
    <t>Raw mean difference. # indep replicates is the number of sites. I have not considered the two subplots, measured either side of the stream as independent replicates. Simpsons D was 0.06</t>
  </si>
  <si>
    <t># indep replicates is the number of sites. I have not considered the two subplots, measured either side of the stream as independent replicates. Simpsons D was 0.10</t>
  </si>
  <si>
    <t>Simpsons D was 0.8</t>
  </si>
  <si>
    <t>"Simpsons diversity index" and "Simpson's index" were 0.8</t>
  </si>
  <si>
    <t>Simpsons index was 0.9</t>
  </si>
  <si>
    <t>Simpsons Index was 0.8</t>
  </si>
  <si>
    <t xml:space="preserve">"A minimum of 8 … samples were collected and comosited from each plot". </t>
  </si>
  <si>
    <t>Simpson's reciprocal (1/D)</t>
  </si>
  <si>
    <t>Simpson's transformed (1-D)</t>
  </si>
  <si>
    <t>Elliott et al (2009) B (Midslope)</t>
  </si>
  <si>
    <t>Elliott et al (2009) C (Stream)</t>
  </si>
  <si>
    <t>3 burns, 20 plots, for the purpose of this study they can be thought of as independent</t>
  </si>
  <si>
    <t>mean per compartment</t>
  </si>
  <si>
    <t>1 site, 5 transects, 4 composite samples each&gt; JE amended</t>
  </si>
  <si>
    <t>1 site, 5 transects, 4 composite samples each. JE amended</t>
  </si>
  <si>
    <t>JE corrected JJTs replicate number</t>
  </si>
  <si>
    <t>1m2 plot data also reported; 10 1000m2 plot/treatment unit.per plot data JE corrected JJT</t>
  </si>
  <si>
    <t>species richness calculated on a qudrat bases (#/m2); 4 treatments, 2 plots and 5 quadrats per plots. Quadrats were pseudoreplicates (JE)</t>
  </si>
  <si>
    <t>JE changed replicates from 80 to 4</t>
  </si>
  <si>
    <t>Figure 1 is presented in a LOG SCALE-I have transformed the data using the formula "(10^x)-1", which should return the correct values. Logged mean was 0.41, SE 0.06. Block and treatment were factors, so no of replicates was 12</t>
  </si>
  <si>
    <t>Plots in the same coupe are not independent, but this can be overcome by considering them as repeated measures of the same environmental conditions and disturbance history in a GEE framework. i.e  consider 6 replicates as 3</t>
  </si>
  <si>
    <t># indep replicates are the number of sample plots, see caption to Fig 2</t>
  </si>
  <si>
    <t>Elliott and Vose (2010) B (Robin Branch)</t>
  </si>
  <si>
    <t>Data presented are per plot and described as pseudoreplicates. Figure 5 also has richness/2m2 for 9 species groups - not extracted</t>
  </si>
  <si>
    <t>Appears that authors calculated richness per plot (though not explicit) "Mean percent cover (based on cover class midpoints) was determined for each species
within each plot and year" true replicates are the number of transects per plot</t>
  </si>
  <si>
    <t>Hot and patchy, medium rate of spread."burnt to mineral soil in some areas with other
areas unburnt" Authors stated 3 independent burns, we classified as one.</t>
  </si>
  <si>
    <t>more severe than spring fire, max scorch height 2.8m. "five growing seasons after the fires the fall burn
areas had less basal area compared to the control and spring
groups, thinner 0 horizons, less coarse woody debris cover,
and greater substrate exposure"</t>
  </si>
  <si>
    <t>more intense fires with max scorch height 3yds</t>
  </si>
  <si>
    <t xml:space="preserve">Partly (fires were hot and fast- flame height 1.2m, burnign through 95-100% of plots) </t>
  </si>
  <si>
    <t>Fires described as hot and fast, burning through 95-100% of plots. Approximately once a year</t>
  </si>
  <si>
    <t>Yes (flame heights and char height 1-6m and 2m respectively)</t>
  </si>
  <si>
    <t>Yes (flame heights 1-3m)</t>
  </si>
  <si>
    <t>insufficient information to classify Tompkins as high intensity. intensity was 500+/- 237kW/m.  (burn replicates were conducted in different years, thus year may have been a confounding factor)</t>
  </si>
  <si>
    <t xml:space="preserve"> insufficient information to classify Tompkins as high intensity. intensity was 500+/- 237kW/m.  (burn replicates were conducted in different years, thus year may have been a confounding factor)</t>
  </si>
  <si>
    <t>insufficient information to classify Tompkins as high intensity. intensity not measured  (burn replicates were conducted in different years, thus year may have been a confounding factor)</t>
  </si>
  <si>
    <t>Partly (variable fire intensity)</t>
  </si>
  <si>
    <t>grasses and forbs</t>
  </si>
  <si>
    <t>before data in 2008, burn in 2009, after data in 2010. mice, shrews, voles, southern flying squirrels, chipmunks</t>
  </si>
  <si>
    <t>before data in 2008., burn in 2009, after data in 2011 (data also collected in 2010). Shrews, mice, voles</t>
  </si>
  <si>
    <t>Burn_strength</t>
  </si>
  <si>
    <t>Forest_type</t>
  </si>
  <si>
    <t>Study_design</t>
  </si>
  <si>
    <t>Validity</t>
  </si>
  <si>
    <t>Burn_freq_y</t>
  </si>
  <si>
    <t>Authors</t>
  </si>
  <si>
    <t>Citation_site</t>
  </si>
  <si>
    <t>Linked_studies</t>
  </si>
  <si>
    <t>Forest_FAO</t>
  </si>
  <si>
    <t>Research_Project</t>
  </si>
  <si>
    <t>Lat_N</t>
  </si>
  <si>
    <t>Long_W_raw</t>
  </si>
  <si>
    <t>Lat_N_raw</t>
  </si>
  <si>
    <t>Altitude</t>
  </si>
  <si>
    <t>Fire_history</t>
  </si>
  <si>
    <t>Stand_disturbance</t>
  </si>
  <si>
    <t>Other_effect modifiers</t>
  </si>
  <si>
    <t xml:space="preserve">Treatment_allocation </t>
  </si>
  <si>
    <t>Matching_int/cont</t>
  </si>
  <si>
    <t>Sampling_design_within_treatment</t>
  </si>
  <si>
    <t xml:space="preserve">Burn_intention </t>
  </si>
  <si>
    <t>Indep_burn_areas</t>
  </si>
  <si>
    <t>Burn_events_raw</t>
  </si>
  <si>
    <t>Burn_events_corr</t>
  </si>
  <si>
    <t>Burn_area_size</t>
  </si>
  <si>
    <t>Burn_month/s</t>
  </si>
  <si>
    <t xml:space="preserve">Burn_season </t>
  </si>
  <si>
    <t>Blocks_per _burn</t>
  </si>
  <si>
    <t>Burned_years</t>
  </si>
  <si>
    <t>Control_areas</t>
  </si>
  <si>
    <t>Blocks_per control</t>
  </si>
  <si>
    <t>Plots_per_block_burn</t>
  </si>
  <si>
    <t>Subplots_per_plot_burn</t>
  </si>
  <si>
    <t>Plots_per_block_control</t>
  </si>
  <si>
    <t>Subplots_per_plot_control</t>
  </si>
  <si>
    <t>Type_of_central_tendency</t>
  </si>
  <si>
    <t>Type_of_deviance</t>
  </si>
  <si>
    <t xml:space="preserve">Area_of_unit </t>
  </si>
  <si>
    <t>Study_duration_mo</t>
  </si>
  <si>
    <t>Study_duration_y</t>
  </si>
  <si>
    <t>Time_since_burn_y</t>
  </si>
  <si>
    <t>Time_since_burn_mo</t>
  </si>
  <si>
    <t>Intermediate_time_points</t>
  </si>
  <si>
    <t>Assessment_method</t>
  </si>
  <si>
    <t xml:space="preserve">Sap/pyro_spp </t>
  </si>
  <si>
    <t>Comment_outcome</t>
  </si>
  <si>
    <t>Comment_comp</t>
  </si>
  <si>
    <t>Comment_int</t>
  </si>
  <si>
    <t>Comment _site</t>
  </si>
  <si>
    <t>Comment_design</t>
  </si>
  <si>
    <t>Comment_BA/CI_Int</t>
  </si>
  <si>
    <t>Source_BA/CI_Int</t>
  </si>
  <si>
    <t>Replicates_i_BA/CI_Int</t>
  </si>
  <si>
    <t>Replicates_r_BA/CI_Int</t>
  </si>
  <si>
    <t>Deviance_BA/CI_Int</t>
  </si>
  <si>
    <t>Central_tendency_value_BA/CI_Int</t>
  </si>
  <si>
    <t xml:space="preserve">BA/CI_Int_data </t>
  </si>
  <si>
    <t>Central_tendency_value_BA/CI_comp</t>
  </si>
  <si>
    <t>Deviance_BA/CI_comp</t>
  </si>
  <si>
    <t>Replicates_r_BA/CI_comp</t>
  </si>
  <si>
    <t>Replicates_i_BA/CI_comp</t>
  </si>
  <si>
    <t>Source_BA/CI_comp</t>
  </si>
  <si>
    <t>Comment_BA/CI_comp</t>
  </si>
  <si>
    <t>BA/CI_effect size</t>
  </si>
  <si>
    <t>Deviance_BA/CI_effect_size</t>
  </si>
  <si>
    <t>Source_BA/CI_effect_size</t>
  </si>
  <si>
    <t>Comment_BA/CI_effect_size</t>
  </si>
  <si>
    <t>BACI_BI</t>
  </si>
  <si>
    <t>Deviance_BACI_BI</t>
  </si>
  <si>
    <t>Source_BACI_BI</t>
  </si>
  <si>
    <t>Comment_BACI_BI</t>
  </si>
  <si>
    <t>BACI_BC</t>
  </si>
  <si>
    <t>Deviance_BACI_BC</t>
  </si>
  <si>
    <t>Source_BACI_BC</t>
  </si>
  <si>
    <t>Comment_BACI_BC</t>
  </si>
  <si>
    <t>BACI_AI</t>
  </si>
  <si>
    <t>Deviance_BACI_AI</t>
  </si>
  <si>
    <t>Source_BACI_AI</t>
  </si>
  <si>
    <t>Comment_BACI_AI</t>
  </si>
  <si>
    <t>BACI_AC</t>
  </si>
  <si>
    <t>Deviance_BACI_AC</t>
  </si>
  <si>
    <t>Source_BACI_AC</t>
  </si>
  <si>
    <t>Comment_BACI_AC</t>
  </si>
  <si>
    <t>BACI_effect_size_BA_int</t>
  </si>
  <si>
    <t>Central_tendency_value_BACI_AC</t>
  </si>
  <si>
    <t>Central_tendency_value_BACI_AI</t>
  </si>
  <si>
    <t>Central_tendency_value_BACI_BC</t>
  </si>
  <si>
    <t>Central_tendency_value_BACI_BI</t>
  </si>
  <si>
    <t>Effect_size_value_BA/CI</t>
  </si>
  <si>
    <t>BA/CI_comp_data</t>
  </si>
  <si>
    <t>Effect size value_BACI_BA_int</t>
  </si>
  <si>
    <t>Deviance_BACI_BA_int</t>
  </si>
  <si>
    <t>Source_BACI_BA_int</t>
  </si>
  <si>
    <t>Comment_BACI_BA_int</t>
  </si>
  <si>
    <t>BACI_effect_size_BA_comp</t>
  </si>
  <si>
    <t>Effect size value_BACI_BA_comp</t>
  </si>
  <si>
    <t>Deviance_BACI_BA_comp</t>
  </si>
  <si>
    <t>Source_BACI_BA_comp</t>
  </si>
  <si>
    <t>Comment_BACI_BA_comp</t>
  </si>
  <si>
    <t>Site_ID</t>
  </si>
  <si>
    <t>SD_BA/CI_Int</t>
  </si>
  <si>
    <t>SD_BA/CI_comp</t>
  </si>
  <si>
    <t>SD_BA/CI_effect_size</t>
  </si>
  <si>
    <t>SD_BACI_BI</t>
  </si>
  <si>
    <t>SD_BACI_BC</t>
  </si>
  <si>
    <t>SD_BACI_AI</t>
  </si>
  <si>
    <t>SD_BACI_AC</t>
  </si>
  <si>
    <t>SD_BACI_BA_int</t>
  </si>
  <si>
    <t>SD_BACI_BA_comp</t>
  </si>
  <si>
    <t>JE calc</t>
  </si>
  <si>
    <t>Raw mean diff AI and BI</t>
  </si>
  <si>
    <t>Raw mean diff AC and BC</t>
  </si>
  <si>
    <t>Unburn (A-B)</t>
  </si>
  <si>
    <t>Burn (A-B)</t>
  </si>
  <si>
    <t>Raw data from authors</t>
  </si>
  <si>
    <t>carabididae</t>
  </si>
  <si>
    <t>BeetG</t>
  </si>
  <si>
    <t>BeetC</t>
  </si>
  <si>
    <t>BeetA</t>
  </si>
  <si>
    <t>JE calc from fig 1 data</t>
  </si>
  <si>
    <t>Litter-dwelling, ephemeral and herbivores, not saproxylics</t>
  </si>
  <si>
    <t>9 and 45</t>
  </si>
  <si>
    <t>for litter samples, Subplot samples (n=3) were pooled (compositied). Three repeated sampling dates. (3 subsamples composited, 3 sampling dates) for soil cores, Subplot samples (n=15) were pooled (compositied). Three repeated sampling dates. (15 subsamples composited, 3 sampling dates)</t>
  </si>
  <si>
    <t>JE calc (combined data) from Table 1</t>
  </si>
  <si>
    <t>JE calc (combined data) from Figure 1</t>
  </si>
  <si>
    <t>JE calc (combined data) from Table 3</t>
  </si>
  <si>
    <t>JE calc (combined data) from Table 6</t>
  </si>
  <si>
    <t>Abundance per 100m2. Woody spp - Obligate seeders, Obligate resprouters,  Facultative resprouters,  Legumes</t>
  </si>
  <si>
    <t>Abundance per 100m2.  Herb spp - Obligate seeders, Obligate resprouters,  Facultative resprouters,  Legumes, Graminoids</t>
  </si>
  <si>
    <t>JE calc (combined data) from Table 4</t>
  </si>
  <si>
    <t>JE calc (combined data) from  Table 4</t>
  </si>
  <si>
    <t>Trees (&gt;2inches DBH)</t>
  </si>
  <si>
    <t>"Canopy" Woody stems at least 2.5cm DBH</t>
  </si>
  <si>
    <t>Trees (all, including mature trees)</t>
  </si>
  <si>
    <t>JE calc (combined data) from Fig 1</t>
  </si>
  <si>
    <t>Graminoid and forbs</t>
  </si>
  <si>
    <t>Forbs, shrubs and ferns "We did not analyze graminoids
because they were patchily distributed and had low
species richness and cover (,0.26 per m2 and ,1%,
respectively).</t>
  </si>
  <si>
    <t>JE calc (combined data) from Figure 3</t>
  </si>
  <si>
    <t>JE calc (combined data) from Dryad data</t>
  </si>
  <si>
    <t>JE calc (combined data) fromTable 1</t>
  </si>
  <si>
    <t>combination of annual forbs, cacti, c3 grass, c4 grass, perennial forbs and shrubs. Couldn’t use trees as mature trees as no detail given  on how they were  classified.</t>
  </si>
  <si>
    <t>lichens on old stumps and downed fine woody debris</t>
  </si>
  <si>
    <t>JE calc (combined data) from Figure 2</t>
  </si>
  <si>
    <t>Exotic annuals/biennials.</t>
  </si>
  <si>
    <t>Understory Mean of Early Season sampling (May-June) and Late Season sampling (August)</t>
  </si>
  <si>
    <t>understory (forbs, graminoids, shrubs)</t>
  </si>
  <si>
    <t>forbs (we think this is representative of the understory)</t>
  </si>
  <si>
    <t>Seedlings (stems 20–140 cm tall)</t>
  </si>
  <si>
    <t>Understory. measured in 2009 (2 years after the 2007 fire in the other compartment)</t>
  </si>
  <si>
    <t>understory community (annual and biennial forbs, perennial forbs, graminoids,
and shrubs)</t>
  </si>
  <si>
    <t>"Simpson's D" understory community (annual and biennial forbs, perennial forbs, graminoids,
and shrubs)</t>
  </si>
  <si>
    <t>Beche 2005</t>
  </si>
  <si>
    <t>Blake 2005</t>
  </si>
  <si>
    <t>Lazar 2005</t>
  </si>
  <si>
    <t>Scudi 2010A</t>
  </si>
  <si>
    <t>Scudi 2010B</t>
  </si>
  <si>
    <t>Huntz 2003A</t>
  </si>
  <si>
    <t>Huntz 2003B</t>
  </si>
  <si>
    <t>Brand 2002</t>
  </si>
  <si>
    <t>Bowle 2007</t>
  </si>
  <si>
    <t>Schar 2012</t>
  </si>
  <si>
    <t>Henni 1996</t>
  </si>
  <si>
    <t>Peter 2008</t>
  </si>
  <si>
    <t>Raybu 2012</t>
  </si>
  <si>
    <t>Hutch 2005</t>
  </si>
  <si>
    <t>Kerns 2006</t>
  </si>
  <si>
    <t>Kerns et al (2006) Kerns et al (2011)  same study area, different number of sites, different interventions</t>
  </si>
  <si>
    <t>Russe 2009</t>
  </si>
  <si>
    <t>Cook 2008</t>
  </si>
  <si>
    <t>Toiva 2007</t>
  </si>
  <si>
    <t>Zhang 2008</t>
  </si>
  <si>
    <t>Casal 2016</t>
  </si>
  <si>
    <t>Duche 2009</t>
  </si>
  <si>
    <t>Fule 2001</t>
  </si>
  <si>
    <t>King 2000</t>
  </si>
  <si>
    <t>Smith et al (2004), Kerns et al (2011),McIver and Macke (2014)  same study area, different number of sites, different interventions</t>
  </si>
  <si>
    <t>Nuzzo 1996</t>
  </si>
  <si>
    <t>Taft 1995</t>
  </si>
  <si>
    <t xml:space="preserve">Tuini 2004A </t>
  </si>
  <si>
    <t>Blake 2000</t>
  </si>
  <si>
    <t>Jacob 2015</t>
  </si>
  <si>
    <t>Welch 2000A</t>
  </si>
  <si>
    <t>Welch 2000B</t>
  </si>
  <si>
    <t xml:space="preserve">Greenberg et al (2016), same site, different number of burn sites, different interventions. </t>
  </si>
  <si>
    <t>Raybuck et al (2012), same site, different number of burn sites, different interventions. The same publication also reported Greenberg et al 2016-A a BACI study with a different number of burn sites</t>
  </si>
  <si>
    <t>Raybuck et al (2012), same site, different number of burn sites, different interventions. The same publication also reported Greenberg et al 2016-B a BA study with a different number of burn sites</t>
  </si>
  <si>
    <t>McGee 1995</t>
  </si>
  <si>
    <t>Nunes 2006</t>
  </si>
  <si>
    <t>Reazi 2016</t>
  </si>
  <si>
    <t>Smith et al (2004), Kerns et al (2011), McIver and Macke (2014)  same study area, different number of sites, different interventions</t>
  </si>
  <si>
    <t>White 1983</t>
  </si>
  <si>
    <t>Berk 2007</t>
  </si>
  <si>
    <t>Neill 2007</t>
  </si>
  <si>
    <t>Neuma 1995</t>
  </si>
  <si>
    <t>Myers 2015</t>
  </si>
  <si>
    <t>Abbot 1984</t>
  </si>
  <si>
    <t>Hurte 2008</t>
  </si>
  <si>
    <t>Colli 2007</t>
  </si>
  <si>
    <t>Apigi 2006</t>
  </si>
  <si>
    <t>Caman 2008</t>
  </si>
  <si>
    <t>Caman 2012</t>
  </si>
  <si>
    <t>Letto 2014</t>
  </si>
  <si>
    <t>Monta FFS</t>
  </si>
  <si>
    <t>Lomba 2008</t>
  </si>
  <si>
    <t>Kerns et al (2006), Smith et al (2004) same study area, different interventions and plots (e.g. different thinning times, different stand size)</t>
  </si>
  <si>
    <t>Kerns et al (2006) Kerns et al (2011)  same study area, different interventions and different plots (e.g. different thinning times, different stand size)</t>
  </si>
  <si>
    <t>Smith 2005</t>
  </si>
  <si>
    <t>Busse 2009</t>
  </si>
  <si>
    <t>Kerns 2011</t>
  </si>
  <si>
    <t>Nelso 2008</t>
  </si>
  <si>
    <t>Dodso 2008</t>
  </si>
  <si>
    <t>Royo 2010</t>
  </si>
  <si>
    <t>Nuttl 2013</t>
  </si>
  <si>
    <t>Huffm 2013</t>
  </si>
  <si>
    <t>Larse 2016</t>
  </si>
  <si>
    <t>Strah 2015</t>
  </si>
  <si>
    <t>Hurte 2008A</t>
  </si>
  <si>
    <t>Hurte 2008B</t>
  </si>
  <si>
    <t>Nyoka 2010</t>
  </si>
  <si>
    <t>Ander 2009</t>
  </si>
  <si>
    <t>Foste 2015</t>
  </si>
  <si>
    <t>Steve 2015</t>
  </si>
  <si>
    <t>Fule 2005</t>
  </si>
  <si>
    <t>Native plant species</t>
  </si>
  <si>
    <t>Exotic plant species</t>
  </si>
  <si>
    <t>All Native Understory Native annuals/biennials.+Native perrennial forbs.+Native perennial grasses</t>
  </si>
  <si>
    <t xml:space="preserve"> Richness on 0.3ha scale, one 0.3 ha subplot in each of 6 treatment block</t>
  </si>
  <si>
    <t>Replicates_r_BA/CI_effect_size</t>
  </si>
  <si>
    <t>Replicates_i_BA/CI_effect_size</t>
  </si>
  <si>
    <t>Replicates_r_BACI_BI</t>
  </si>
  <si>
    <t>Replicates_i_BACI_BI</t>
  </si>
  <si>
    <t>Replicates_r_BACI_BC</t>
  </si>
  <si>
    <t>Replicates_i_BACI_BC</t>
  </si>
  <si>
    <t>Replicates_r_BACI_AI</t>
  </si>
  <si>
    <t>Replicates_i_BACI_AI</t>
  </si>
  <si>
    <t>Replicates_r_BACI_AC</t>
  </si>
  <si>
    <t>Replicates_i_BACI_AC</t>
  </si>
  <si>
    <t>Replicates_r_BACI_BA_int</t>
  </si>
  <si>
    <t>Replicates_i_BACI_BA_int</t>
  </si>
  <si>
    <t>Replicates_r_BACI_BA_comp</t>
  </si>
  <si>
    <t>Replicates_i_BACI_BA_comp</t>
  </si>
  <si>
    <t>Int_mean</t>
  </si>
  <si>
    <t>Int_sd</t>
  </si>
  <si>
    <t>Int_nr</t>
  </si>
  <si>
    <t>Comp_mean</t>
  </si>
  <si>
    <t>Comp_sd</t>
  </si>
  <si>
    <t>Comp_nr</t>
  </si>
  <si>
    <t>Int_ni</t>
  </si>
  <si>
    <t>Comp_ni</t>
  </si>
  <si>
    <t>d</t>
  </si>
  <si>
    <t>Swithin</t>
  </si>
  <si>
    <t>J</t>
  </si>
  <si>
    <t>Vd</t>
  </si>
  <si>
    <t>SMD_g</t>
  </si>
  <si>
    <t>SMD_Vg</t>
  </si>
  <si>
    <t>earthorms and leaf litter inverts (all inverts)</t>
  </si>
  <si>
    <t>Litter and soil samples</t>
  </si>
  <si>
    <t>soil invertebrates, incl arthropods and crustacea and worms</t>
  </si>
  <si>
    <t>litter invertebrates , incl arthropods and crustacea and worms</t>
  </si>
  <si>
    <t>ground species (may include caribidiae)</t>
  </si>
  <si>
    <t>Csb</t>
  </si>
  <si>
    <t>Dfc</t>
  </si>
  <si>
    <t>Dfa</t>
  </si>
  <si>
    <t>Dfb</t>
  </si>
  <si>
    <t>Cfb</t>
  </si>
  <si>
    <t>Dsb</t>
  </si>
  <si>
    <t>Green 2016A</t>
  </si>
  <si>
    <t>Green 2016B</t>
  </si>
  <si>
    <t>Blake and Schuette (2000) 3.5 burns</t>
  </si>
  <si>
    <t>Blake and Schuette (2000) 2 burns</t>
  </si>
  <si>
    <t>McGee et al (1995) 1 burn</t>
  </si>
  <si>
    <t>McGee et al (1995) 2 burns</t>
  </si>
  <si>
    <t>Nunes et al (2006) Spring burn, 1-6 months</t>
  </si>
  <si>
    <t>Nunes et al (2006) Winter burn, 12-18 months</t>
  </si>
  <si>
    <t>Nunes et al (2006) Winter burn, 1-6 months</t>
  </si>
  <si>
    <t>Neumann et al (1995) Autumn burn</t>
  </si>
  <si>
    <t>Neumann et al (1995) Spring burn</t>
  </si>
  <si>
    <t>Kerns et al (2011) Autumn burn</t>
  </si>
  <si>
    <t>Kerns et al (2011) Summer burn</t>
  </si>
  <si>
    <t>Andersen et al (2009) 2 burns</t>
  </si>
  <si>
    <t>Andersen et al (2009) 6 burns</t>
  </si>
  <si>
    <t>King (2000) Spring burn</t>
  </si>
  <si>
    <t>King (2000) Autumn burn</t>
  </si>
  <si>
    <t>Kerns et al (2006)- Spring burn</t>
  </si>
  <si>
    <t>Kerns et al (2006)- Autumn burn</t>
  </si>
  <si>
    <t>Hutchinson et al (2005) 2 burns</t>
  </si>
  <si>
    <t>Hutchinson et al (2005) 4 burns</t>
  </si>
  <si>
    <t>Raybuck et al (2012) Sherman traps, 13-16 months</t>
  </si>
  <si>
    <t>Raybuck et al (2012) Drift fences, 25-28 months</t>
  </si>
  <si>
    <t>Raybuck et al (2012) Sherman traps, 1-4 months</t>
  </si>
  <si>
    <t>Raybuck et al (2012) Drift fences, 13-16 months</t>
  </si>
  <si>
    <t>Peterson and Reich (2008) &lt;1 burn per 4y</t>
  </si>
  <si>
    <t>Peterson and Reich (2008) 1-&lt;2 burns per 4y</t>
  </si>
  <si>
    <t>Peterson and Reich (2008) 2-&lt;3 burns per 4 y</t>
  </si>
  <si>
    <t>Peterson and Reich (2008) 3-&lt;4 burns per 4y</t>
  </si>
  <si>
    <t>Henning and Dickmann (1996) 1 burn</t>
  </si>
  <si>
    <t>Henning and Dickmann (1996) 2 burns</t>
  </si>
  <si>
    <t>Henning and Dickmann (1996) 4 burns</t>
  </si>
  <si>
    <t>Scudieri et al (2010) B (Limestone flats) burned every 10y</t>
  </si>
  <si>
    <t>Scudieri et al (2010) B (Limestone flats) burned every 8y</t>
  </si>
  <si>
    <t>Scudieri et al (2010) B (Limestone flats) burned every 6y</t>
  </si>
  <si>
    <t>Scudieri et al (2010) B (Limestone flats) burned every 4y</t>
  </si>
  <si>
    <t>Scudieri et al (2010) B (Limestone flats) burned every 2y</t>
  </si>
  <si>
    <t>Scudieri et al (2010) B (Limestone flats) burned every 1y</t>
  </si>
  <si>
    <t>Scudieri et al (2010) A (Chimney spring) burned every 1y</t>
  </si>
  <si>
    <t>Scudieri et al (2010) A (Chimney spring) burned every 2y</t>
  </si>
  <si>
    <t>Scudieri et al (2010) A (Chimney spring) burned every 4y</t>
  </si>
  <si>
    <t>Scudieri et al (2010) A (Chimney spring) burned every 6y</t>
  </si>
  <si>
    <t>Scudieri et al (2010) A (Chimney spring) burned every 8y</t>
  </si>
  <si>
    <t>Scudieri et al (2010) A (Chimney spring) burned every 10y</t>
  </si>
  <si>
    <t>Nuzzo et al (1996) Autumn,  1 burn</t>
  </si>
  <si>
    <t>Nuzzo et al (1996) Autumn, 2 burns</t>
  </si>
  <si>
    <t>Nuzzo et al (1996) Autumn, 3 burns</t>
  </si>
  <si>
    <t>Nuzzo et al (1996) Spring, 1 burn</t>
  </si>
  <si>
    <t>Nuzzo et al (1996) Spring, 2 burns</t>
  </si>
  <si>
    <t>Nuzzo et al (1996) Spring, 3 burns</t>
  </si>
  <si>
    <t>Jacobs et al (2015) 6 burns, soil core</t>
  </si>
  <si>
    <t>Jacobs et al (2015) 6 burns, litter trap</t>
  </si>
  <si>
    <t>Jacobs et al (2015) 21 burns, soil core</t>
  </si>
  <si>
    <t>Jacobs et al (2015) 21 burns, litter trap</t>
  </si>
  <si>
    <t>All understory (Native annuals/biennials.+Native perrennial forbs.+Native perennial grasses+ exotic annuals/biennials ). Annuals biennials included shrubs and trees</t>
  </si>
  <si>
    <t>Smith 2004</t>
  </si>
  <si>
    <t>Smith et al (2004)</t>
  </si>
  <si>
    <t>Smith, J. E., McKay, D., Niwa, C. G., Thies, W. G., Brenner, G., &amp; Spatafora, J. W.</t>
  </si>
  <si>
    <t>Short-term effects of seasonal prescribed burning on the ectomycorrhizal fungal community and fine root biomass in ponderosa pine stands in the Blue Mountains of Oregon</t>
  </si>
  <si>
    <t>2477-2491</t>
  </si>
  <si>
    <t>Kerns et al (2006) Kerns et al (2011) McIver and Macke (2014) same study area, different number of sites, different interventions</t>
  </si>
  <si>
    <t xml:space="preserve">A BACI study in a coniferous forest in Oregon, USA from 1997-2001 The objectives of the study were to 1) quanitfy the effects of underburning in fall or spring on the EM fungi community and live fine root biomass, 2) assess the importance of duff depth as a measure of treatment impact, 3) determine whether the number of EM species and the biomass of live fine roots differ by depth in mineral soil in response to seasonal underburing. </t>
  </si>
  <si>
    <t>43.5 N</t>
  </si>
  <si>
    <t>118.5 W</t>
  </si>
  <si>
    <t>1600-1700</t>
  </si>
  <si>
    <t>6 (pre) or 3 (post) soil cores per treatment unit</t>
  </si>
  <si>
    <t>3/6</t>
  </si>
  <si>
    <t>No. of RFLPs</t>
  </si>
  <si>
    <t xml:space="preserve">Upper and lower soil cores were combined in Table 2 and reported here </t>
  </si>
  <si>
    <t>"…to analyze count data of RFLP species tallied by treatment unit"</t>
  </si>
  <si>
    <t>Wienk 2004</t>
  </si>
  <si>
    <t>Wienk et al (2004)</t>
  </si>
  <si>
    <t xml:space="preserve">Wienk, C. L., Sieg, C. H., &amp; McPherson, G. R. </t>
  </si>
  <si>
    <t>Evaluating the role of cutting treatments, fire and soil seed banks in an experimental framework in ponderosa pine forests of the Black Hills, South Dakota</t>
  </si>
  <si>
    <t>375-393</t>
  </si>
  <si>
    <t xml:space="preserve">A CI study in a coniferous forest in South Dakota, USA from 1998-2000. This tsudy experimentally tested the potential for prescribed fire  and overstory reduction to increase understory production in dense ponderosa pine forests. This study also looked at fire history, pretreatment conditions, and soil seed bank. </t>
  </si>
  <si>
    <t>South Dakota</t>
  </si>
  <si>
    <t>Black Hills</t>
  </si>
  <si>
    <t>103.9 W</t>
  </si>
  <si>
    <t>1220-1280</t>
  </si>
  <si>
    <t>45mx45m</t>
  </si>
  <si>
    <t>6 transects, 5 quadrats each</t>
  </si>
  <si>
    <t>understory vegetation</t>
  </si>
  <si>
    <t>Table 8</t>
  </si>
  <si>
    <t>"Richness was the mean number of species per plot"</t>
  </si>
  <si>
    <t>Dense ponderosa pine forest purchased for use as a game production area</t>
  </si>
  <si>
    <t>second growth ponderosa pine stands</t>
  </si>
  <si>
    <t>Dsc</t>
  </si>
  <si>
    <t>Dsa</t>
  </si>
  <si>
    <t>Clim_zone_JE_checked</t>
  </si>
  <si>
    <t>Bsk-ponderosa pine</t>
  </si>
  <si>
    <t>Csa-ponderosa pine</t>
  </si>
  <si>
    <t>Dsa and Bsk (Ponderosa pine present at low level)</t>
  </si>
  <si>
    <t xml:space="preserve">Elliott, K. J., &amp; Vose, J. M. </t>
  </si>
  <si>
    <t>Short-term effects of prescribed fire on mixed oak forests in the southern Appalachians: Vegetation response</t>
  </si>
  <si>
    <t>49-66</t>
  </si>
  <si>
    <t xml:space="preserve">A BACI study from 2003-2006 in 3 sites in North Carolina and Georgia. The study objectives were to: 1) evaluate overstory mortality following prescribed fire treatments; and 2) assess short-term (the first two years after burning) changes in composition, abundance, and diversity of understory and herbaceous layer vegetation after prescribed burning in mixed-oak ecosystems.  Companion study (Knoepp et al 2009) studied effects on forest floor and soil nutrient cycling. </t>
  </si>
  <si>
    <t>5-10ha (includes adjacent control)</t>
  </si>
  <si>
    <t>March</t>
  </si>
  <si>
    <t>Density (Div based on basal area also available)</t>
  </si>
  <si>
    <t>Woody Understory (&lt;5cm DBH)</t>
  </si>
  <si>
    <t>author replicates were plots</t>
  </si>
  <si>
    <t>All understory: Herbaceous (forb, fern, and grass) and woody (shrubs and trees &lt;5cm dbh)</t>
  </si>
  <si>
    <t>Ellio 2010B</t>
  </si>
  <si>
    <t>Nantahala National Forest (Robin Branch)</t>
  </si>
  <si>
    <t>83.58 W</t>
  </si>
  <si>
    <t>Robin Branch (RB)</t>
  </si>
  <si>
    <t>29</t>
  </si>
  <si>
    <t>. Data only available for CI (before data are missing) author replicates were quadrat</t>
  </si>
  <si>
    <t xml:space="preserve"> Data only available for CI (before data are missing)  author replicates were plots</t>
  </si>
  <si>
    <t>Ellio 2009</t>
  </si>
  <si>
    <t>Elliott et al (2009) A (Ridge)</t>
  </si>
  <si>
    <t xml:space="preserve">Elliott, K. J., Vose, J. M., &amp; Hendrick, R. L. </t>
  </si>
  <si>
    <t>Long-term effects of high intensity prescribed fire on vegetation dynamics in the Wine Spring Creek watershed, western North Carolina, USA</t>
  </si>
  <si>
    <t>Fire Ecology</t>
  </si>
  <si>
    <t>66-85</t>
  </si>
  <si>
    <t xml:space="preserve">A BA study that continues the Elliott et al. 1999 study 10 years later. In earlier papers, they compared the  first two years of responses to the pre-burn for- est condition (Elliott et al. 1999a, Vose et al. 1999). This current paper addresses the longer-term effects 10 years after a single, prescribed  </t>
  </si>
  <si>
    <t xml:space="preserve">BA </t>
  </si>
  <si>
    <t>Nantahala National Forest (Wine Spring Creek)</t>
  </si>
  <si>
    <t>Wine Spring Creek Ecosystem Management Project</t>
  </si>
  <si>
    <t>35.25 N</t>
  </si>
  <si>
    <t>1500-1700</t>
  </si>
  <si>
    <t>Fire excluded for over 70 years</t>
  </si>
  <si>
    <t>Ridge</t>
  </si>
  <si>
    <t>300ha</t>
  </si>
  <si>
    <t>225m2</t>
  </si>
  <si>
    <t>density (Div based on basal area also available)</t>
  </si>
  <si>
    <t>Overstory (all trees &gt;5.0cm at 1.37m)</t>
  </si>
  <si>
    <t>Initially there were transects in the design, but only certain plots were used in this paper, so they have been left out. JE has overridden JJT's number of replicates (JJT said 1)</t>
  </si>
  <si>
    <t>Understory (woody stems &lt;5.0cm dbh and &gt;1.0cm basal diameter)</t>
  </si>
  <si>
    <t>Species richness per plot. Understory (woody stems &lt;5.0cm dbh and &gt;1.0cm basal diameter)</t>
  </si>
  <si>
    <t>Herbaceous layer species</t>
  </si>
  <si>
    <t>Species richness per plot. Herbaceous layer species</t>
  </si>
  <si>
    <t>Mid-slope</t>
  </si>
  <si>
    <t>Overstory included all trees &gt;5.0cm at 1.37m</t>
  </si>
  <si>
    <t>Species richness per plot.Understory (woody stems &lt;5.0cm dbh and &gt;1.0cm basal diameter)</t>
  </si>
  <si>
    <t>Riparian</t>
  </si>
  <si>
    <t>Hutch 2000</t>
  </si>
  <si>
    <t>Hutchinson and Sutherland (2000)1 burn</t>
  </si>
  <si>
    <t xml:space="preserve">Hutchinson, T., &amp; Sutherland, S. </t>
  </si>
  <si>
    <t>Fire and understory vegetation: A large-scale study in Ohio and a search for general response patterns in central hardwood forests</t>
  </si>
  <si>
    <t xml:space="preserve"> In: Proceedings: Workshop on Fire, People and the Cetnral Hardwood Landscape </t>
  </si>
  <si>
    <t>64-74</t>
  </si>
  <si>
    <t>A BACI study in an oak forest in southern Ohio from 1994-1998. This study is a multi-disciplinary project that was initiated to study the use of prescribed fire as a restoration tool on ecosystem components other than oaks in mixed oak ecosystems.</t>
  </si>
  <si>
    <t>Vinton County (Arch Rock and Watch Rock); Lawrence County (Young's Branch, Bluegrass Ridge)</t>
  </si>
  <si>
    <t>39.2 N; 38.7 N;</t>
  </si>
  <si>
    <t>82.38 W; 82.5 W;</t>
  </si>
  <si>
    <t>Mar-Apr</t>
  </si>
  <si>
    <t>sampling was done twice a year  in may and sept</t>
  </si>
  <si>
    <t>2m2</t>
  </si>
  <si>
    <t>38-42</t>
  </si>
  <si>
    <t>y</t>
  </si>
  <si>
    <t>quadrats along transect</t>
  </si>
  <si>
    <t>herbaceous and woody</t>
  </si>
  <si>
    <t>Fig 6c</t>
  </si>
  <si>
    <t>Using data summed across 9 plots- so using 4 burn units as the replicate number</t>
  </si>
  <si>
    <t>Hutchinson and Sutherland (2000) 3 burns</t>
  </si>
  <si>
    <t>82.4 W; 82.5 W;</t>
  </si>
  <si>
    <t>2-6</t>
  </si>
  <si>
    <t>Vinton county sites were in the climate zone Dfa, Lawrence county sites were Cfa</t>
  </si>
  <si>
    <t>Dfa and Cfa- not ponderosa, sites described as similar</t>
  </si>
  <si>
    <t>Smith et al (2004)- Spring burn</t>
  </si>
  <si>
    <t>Smith et al (2004)- Autumn burn</t>
  </si>
  <si>
    <t>Huntzinger (2003) B (Yosemite)</t>
  </si>
  <si>
    <t>Partly (multiple burns of only 0.4ha)</t>
  </si>
  <si>
    <t>Partly (Forest conditions suffered between 1989 and 2006 without silvicultural treatment. Tree mortality from mountain pine beetle averaged 15% on untreated plots, snags and downed wood from killed trees were expected to rise, tree vigor (diameter growth) was 47% lower compared with thinned stands, shrub cover slowly declined, and herbaceous plant production was nominal.)</t>
  </si>
  <si>
    <t>Unclear study design (authors reported one control site in the methods but present data for two control sites) EMAILED COLLETT ON 21 Sept</t>
  </si>
  <si>
    <t>Unclear (authors reported one control site in the methods but present data for two control sites)</t>
  </si>
  <si>
    <t>trees &lt;8.9cm dbh/ over 75cm tall</t>
  </si>
  <si>
    <t>BeetO</t>
  </si>
  <si>
    <t>Missing burn freq info. We do not have information on the number of burns. AT and JE agree that the burns are likely to be independent- either separate burns or separated enough to be independent</t>
  </si>
  <si>
    <t>Missing burn freq info.Unclear whether just one treatment burn, but wording appears to suggest so. 8 transects, 20 microplots each</t>
  </si>
  <si>
    <t>McIve 2014</t>
  </si>
  <si>
    <t>McIver and Macke (2014)</t>
  </si>
  <si>
    <t>McIver, J., &amp; Macke, E.</t>
  </si>
  <si>
    <t>Short-Term Butterfly Response to Sagebrush Steppe Restoration Treatments</t>
  </si>
  <si>
    <t>Rangeland Ecology and Management</t>
  </si>
  <si>
    <t>67 (5)</t>
  </si>
  <si>
    <t>539-552</t>
  </si>
  <si>
    <t>Kerns et al (2006) Kerns et al (2011), Smith et al (2004),  same study area, diff no of sites, different interventions</t>
  </si>
  <si>
    <t xml:space="preserve">A CI study in multiple coniferours forests in the SageSTEP project across Western USA from 2006-2012.  This study decribes butterfly species composition across a network of SageSTEP sites and relate this to plant species composition, habitat structure, and site characteristics. It also reports on the response of butterfly species, species groups and communities to prescribed fire. </t>
  </si>
  <si>
    <t>Oregon; California; Nevada; Utah</t>
  </si>
  <si>
    <t>SageSTEP Network</t>
  </si>
  <si>
    <t>42.0N; 44.5N; 43.6N; 43.2N; 39.2N; 39.51N; 41.1N; 38.25N; 40.5N</t>
  </si>
  <si>
    <t>121.5W; 120.2W; 119.1W;120.7W; 114.9W; 116.0W; 115W; 112.7W; 112.3W</t>
  </si>
  <si>
    <t>800-2500</t>
  </si>
  <si>
    <t>10-20 ha</t>
  </si>
  <si>
    <t>Aug-Nov</t>
  </si>
  <si>
    <t>Aim was to achieve 100% tree mortality, the 9 sites reached between 38 and 85% of plot area burned- classified as low/moderate. 48 post-treatment samples  (between4 and 6 per site)</t>
  </si>
  <si>
    <t>48 post-treatment samples  (between4 and 6 per site)</t>
  </si>
  <si>
    <t>1000m transect</t>
  </si>
  <si>
    <t>0-72</t>
  </si>
  <si>
    <t>butterflies. unclear which data years were used (burns in 2006-2008 and outcome data was collected in 2007-2012)</t>
  </si>
  <si>
    <t xml:space="preserve">true replicates was number of burns.  Authors are unlikely to have used all 48 samples (transect walks) as separate replicates </t>
  </si>
  <si>
    <t xml:space="preserve">true replicates was number of unburned areas.  Authors are unlikely to have used all 48 samples (transect walks) as separate replicates </t>
  </si>
  <si>
    <t>Unclear (lack reporting- described as random in one sentence and "selected" in the next sentence)</t>
  </si>
  <si>
    <t>Yes (we have classified as moderate across the 9 burn areas which burned between 38 and 85% of the area)</t>
  </si>
  <si>
    <t xml:space="preserve">Juniper-pine, 9 woodland sites across several states in Western USA. </t>
  </si>
  <si>
    <t>Dsb, Bsk, Bwk, Dfb, Dfa</t>
  </si>
  <si>
    <t>Climate zones are: Dsb, Bsk x3, Bwkx2, Dfbx2, Dfa AT agreed to include because borderline and nearly half of sites were in eligible zones. Blue mountain, bridge creek, devine ridge, walker butte, Marking Corral, Seven Miile, South Ruby, Greenville Bench, Onaqui Mountain</t>
  </si>
  <si>
    <t xml:space="preserve">Edwards et al 2015 </t>
  </si>
  <si>
    <t>Nnativ</t>
  </si>
  <si>
    <t>Nativ+NNativ</t>
  </si>
  <si>
    <t>Native and Exotic plant species</t>
  </si>
  <si>
    <t>Native and Nonnative plants</t>
  </si>
  <si>
    <t>we used separate plots within each site as indepedant replicates, as this was most representative of the situation across treatment and control sites. Lake Sara was the burned</t>
  </si>
  <si>
    <t>Intni+Compni</t>
  </si>
  <si>
    <t>Multiple</t>
  </si>
  <si>
    <t>Figure 2, JE summed</t>
  </si>
  <si>
    <t>VascHVascW</t>
  </si>
  <si>
    <t>Table 1 JE calc</t>
  </si>
  <si>
    <t>Table 4 and 2, JE calc</t>
  </si>
  <si>
    <t>Shrubs+ Herbs</t>
  </si>
  <si>
    <t>Shrubs and herbs</t>
  </si>
  <si>
    <t>Abundance per 100m2.  Herb spp - Obligate seeders, Obligate resprouters,  Facultative resprouters,  Legumes, Graminoids and Woody spp - Obligate seeders, Obligate resprouters,  Facultative resprouters,  Legumes</t>
  </si>
  <si>
    <t>Table 4 JE combined</t>
  </si>
  <si>
    <t>ground layer, Understory shrubs and saplings &lt;2.5cm DBH</t>
  </si>
  <si>
    <t>Table 5 JE combined</t>
  </si>
  <si>
    <t>shrubs &lt;8.9cm dbh/ up to 75cm tall +forbs (we think this is representative of the understory)</t>
  </si>
  <si>
    <t>Table 2, mean and SE calculated by JE, combined</t>
  </si>
  <si>
    <t>shrub and herb</t>
  </si>
  <si>
    <t>JE calc. email from authors</t>
  </si>
  <si>
    <t>Taxon_info</t>
  </si>
  <si>
    <t>Herbs, shrubs</t>
  </si>
  <si>
    <t>Carabidae</t>
  </si>
  <si>
    <t>Herbs</t>
  </si>
  <si>
    <t>Ground vegetation</t>
  </si>
  <si>
    <t>Woody understory</t>
  </si>
  <si>
    <t>Trees, shrubs, vines</t>
  </si>
  <si>
    <t>Forbs, grasses</t>
  </si>
  <si>
    <t>Trees, shrubs, forbs, grasses, vines</t>
  </si>
  <si>
    <t>Mice, shrews, voles, squirrels, chipmunks</t>
  </si>
  <si>
    <t>Mice, shrews, voles</t>
  </si>
  <si>
    <t>Vascular</t>
  </si>
  <si>
    <t>Native understory</t>
  </si>
  <si>
    <t>Exotic understory</t>
  </si>
  <si>
    <t xml:space="preserve">Native and exotic understory </t>
  </si>
  <si>
    <t>Woody</t>
  </si>
  <si>
    <t>Shrubs, forbs, graminoids</t>
  </si>
  <si>
    <t>Woody, herbs</t>
  </si>
  <si>
    <t>Ground cover</t>
  </si>
  <si>
    <t>Saplings, shrubs</t>
  </si>
  <si>
    <t>Ground layer</t>
  </si>
  <si>
    <t>Funnel, pitfall</t>
  </si>
  <si>
    <t>Forbs</t>
  </si>
  <si>
    <t>Native</t>
  </si>
  <si>
    <t>Native, exotic</t>
  </si>
  <si>
    <t>Flowering forbs</t>
  </si>
  <si>
    <t>Non-native</t>
  </si>
  <si>
    <t>Native, non-native</t>
  </si>
  <si>
    <t>Forbs, graminoids</t>
  </si>
  <si>
    <t>Exotics</t>
  </si>
  <si>
    <t>Shrubs, forbs, graminoids, exotics</t>
  </si>
  <si>
    <t>Shrubs, forbs, ferns, not graminoids</t>
  </si>
  <si>
    <t>Shrubs, forbs, cacti, grasses, trees, non-natives</t>
  </si>
  <si>
    <t>Shrubs, forbs, cacti, grasses, non-natives</t>
  </si>
  <si>
    <t>NNativ</t>
  </si>
  <si>
    <t>Sherman</t>
  </si>
  <si>
    <t>Woody, ground vegetation</t>
  </si>
  <si>
    <t>Shrubs, herbs</t>
  </si>
  <si>
    <t xml:space="preserve">Shrubs, forbs </t>
  </si>
  <si>
    <t>Shrubs, forbs</t>
  </si>
  <si>
    <t>Soil core, Oribatei</t>
  </si>
  <si>
    <t>Pyramid trap, Curculionids</t>
  </si>
  <si>
    <t>Soil core, Fungi</t>
  </si>
  <si>
    <t xml:space="preserve">Litter, soil samples, all inverts </t>
  </si>
  <si>
    <t>Litter samples, Collembola</t>
  </si>
  <si>
    <t>Pitfall, Carabidae</t>
  </si>
  <si>
    <t>Flight intercept, beetles</t>
  </si>
  <si>
    <t>Soil core, Arthropods, Crustacea, worms</t>
  </si>
  <si>
    <t>Litter trap, Arthropods, crustacea, worms</t>
  </si>
  <si>
    <t>Pitfall, ground beetles</t>
  </si>
  <si>
    <t>Pitfall, Arthropods</t>
  </si>
  <si>
    <t>Flight traps, beetles</t>
  </si>
  <si>
    <t xml:space="preserve">Woody understory </t>
  </si>
  <si>
    <t>Trees</t>
  </si>
  <si>
    <t>Woody stems</t>
  </si>
  <si>
    <t>Overstory trees</t>
  </si>
  <si>
    <t>Sub-canopy trees, saplings, shrubs</t>
  </si>
  <si>
    <t>Saplings, shrubs, ground layer</t>
  </si>
  <si>
    <t>Trees, shrubs, herbs</t>
  </si>
  <si>
    <t>All plants</t>
  </si>
  <si>
    <t>Plants</t>
  </si>
  <si>
    <t>Native, non-native understory</t>
  </si>
  <si>
    <t>Zhang et al. (2008) B (High structural diversity plots)</t>
  </si>
  <si>
    <t>Zhang et al. (2008) A (Low structural diversity plots)</t>
  </si>
  <si>
    <t>Zhang et al. (2008)- A (Low structual diversity plots)</t>
  </si>
  <si>
    <t>Zhang et al. (2008)- B (High structural diversity plots)</t>
  </si>
  <si>
    <t>Long_E</t>
  </si>
  <si>
    <t>Exotic plants</t>
  </si>
  <si>
    <t>All understory including saplings, shrubs, forbs and graminoids (and including both native and exotic species)</t>
  </si>
  <si>
    <t>Native Saplings, shrubs, forbs and graminoids () common and uncommon species</t>
  </si>
  <si>
    <t>Ground layer herbs</t>
  </si>
  <si>
    <t>Data separated for spring and summer herbs- have combined them. Just using post-treatment data because sample plots differed in pre-treatment</t>
  </si>
  <si>
    <t>Figure 4d</t>
  </si>
  <si>
    <t xml:space="preserve">diversity per large plot </t>
  </si>
  <si>
    <t xml:space="preserve"> after data in 1999.Data presented are per plot and described as pseudoreplicates. Figure 5 also has richness/2m2 for 9 species groups - not extracted</t>
  </si>
  <si>
    <t>Dodson et al (2007) CI, 25 months</t>
  </si>
  <si>
    <t>Metlen and Fiedler (2006) BACI, 25 months</t>
  </si>
  <si>
    <t>Gundale et al (2006) BACI, 15 months</t>
  </si>
  <si>
    <t>CZ</t>
  </si>
  <si>
    <t>Cs</t>
  </si>
  <si>
    <t>Cf</t>
  </si>
  <si>
    <t>Df</t>
  </si>
  <si>
    <t>Ds</t>
  </si>
  <si>
    <t>Bs</t>
  </si>
  <si>
    <t xml:space="preserve">3 blocks per treatment/control
10 plots per block (whittaker, 1000m2)
10 subplots
12 quadrats per subplot (1m2). So there are 30 x 1000m2 plots, which is 30 replicates. </t>
  </si>
  <si>
    <t>Natives</t>
  </si>
  <si>
    <t>All understory, incl. saplings and exotics</t>
  </si>
  <si>
    <t>Native understory, incl. saplings and exotics</t>
  </si>
  <si>
    <t>Ground and tree traps</t>
  </si>
  <si>
    <t>Ground and tree traps, Ants</t>
  </si>
  <si>
    <t>Pan traps</t>
  </si>
  <si>
    <t>Transect counts, butterflies</t>
  </si>
  <si>
    <t>Transect count, bees</t>
  </si>
  <si>
    <t xml:space="preserve">mean </t>
  </si>
  <si>
    <t>Yes (15 independent burns)</t>
  </si>
  <si>
    <t>Yes (pair plots are similar at baseline, and randomly assigned)</t>
  </si>
  <si>
    <t>Yes (burns done in different years, but after data always 2 years post burn)</t>
  </si>
  <si>
    <t xml:space="preserve">Thinned, second-growth ponderosa </t>
  </si>
  <si>
    <t>No (lacking information on the type of test used). Authors did not reply to a request for information</t>
  </si>
  <si>
    <t>Seedlings and saplings</t>
  </si>
  <si>
    <t>data in 2013 after 2 burns. authors appear to use standardised data and report for each burn unit</t>
  </si>
  <si>
    <t>Data from 2008 before burning. authors appear to use standardised data and report for each burn unit</t>
  </si>
  <si>
    <t>2008. authors appear to use standardised data and report for each unit</t>
  </si>
  <si>
    <t>2008. authors appear to use standardised data and report for each burn unit</t>
  </si>
  <si>
    <t>Burn_growdorm</t>
  </si>
  <si>
    <t>Grow</t>
  </si>
  <si>
    <t>Dorm</t>
  </si>
  <si>
    <t>Both</t>
  </si>
  <si>
    <t>Holsten et al (1995)</t>
  </si>
  <si>
    <t>Partly (17 replicates, 1 plot per replicate)</t>
  </si>
  <si>
    <t>Partly (1m2 plot chosen to be "representative")</t>
  </si>
  <si>
    <t>Unclear (lacking any description)</t>
  </si>
  <si>
    <t>No (although authors state a random sampling practice, the map indicates that the placement was not randomly spread across the area)</t>
  </si>
  <si>
    <t>No (spruce beetle had killed 32% of the live component of the stand in 1985)</t>
  </si>
  <si>
    <t>Spruce beetle affecting a large majority of the stand</t>
  </si>
  <si>
    <t>The ridge was subject to higher burn intensities than the midslope and stream. South-facing hillslope, which corresponded to three community types: mesic, near-stream cove (riparian); dry, mixed-oak (mid-slope); and xeric, pine-hardwood (ridge). "As with many other large scale fire studies, this study was pseudoreplicated.  Therefore, interpretation is based on before, after, and long-term burn treatment effects and limited to this particular forest site"</t>
  </si>
  <si>
    <t>Managed for around 80y</t>
  </si>
  <si>
    <t>Partly (traps were 5m apart)</t>
  </si>
  <si>
    <t>pseudoreplication of the traps- each was 5 m from the other</t>
  </si>
  <si>
    <t>Abbott, I., Heurck, P. V., &amp; Wong, L.  1984.  Responses to long-term fire exclusion: physical,
chemical and faunal features of litter and soil in
a Western Australian forest. Australian Forestry. 47: 237-242.</t>
  </si>
  <si>
    <t>Andersen, A. N., Penman, T. D., Debas, N., &amp; Houadria, M.  2009.  Ant community responses to experimental fire and logging in a eucalypt forest of south-eastern Australia. . Forest Ecology and Management. 258(2): 188-197.</t>
  </si>
  <si>
    <t>Apigian, K. O., Dahlsten, D. L., &amp; Stephens, S. L.  2006.  Fire and fire surrogate treatment effects on leaf litter arthropods in a western Sierra Nevada mixed-conifer forest. Forest Ecology and Management. 221: 110-122.</t>
  </si>
  <si>
    <t>Bêche, L. A., Stephens, S. L., &amp; Resh, V. H.   2005.  Effects of prescribed fire on a Sierra Nevada (California, USA) stream and its riparian zone. Forest Ecology and Management. 218: 37-59.</t>
  </si>
  <si>
    <t>Berk, L. C.  2007.  The response of avian foraging guilds and plant communities to prescribed fire in the ponderosa pine forests of the United States Southwest. University of North Carolina at Chapel Hill (thesis). : .</t>
  </si>
  <si>
    <t>Blake, J. G., &amp; Schuette, B.  2000.  Restoration of an oak forest in east-central Missouri - Early effects of prescribed burning on woody vegetation.. Forest Ecology and Management. 139(1-3): 109-126.</t>
  </si>
  <si>
    <t>Blake, J. G.  2005.  Effects of prescribed burning on distribution and abundance of birds in a closed-canopy oak-dominated forest, Missouri, USA. Biological Conservation. 121: 519-531.</t>
  </si>
  <si>
    <t>Bowles, M. L., Jacobs, K. A., &amp; Mengler, J. L. 2007.  Long-term changes in an oak forest's woody understory and herb layer with repeated burning. Journal of the Torrey Botanical Society. 134: 223-237.</t>
  </si>
  <si>
    <t>Brand, R. H. 2002.  The effect of prescribed burning on epigeic springtails (Insecta: Collembola) of woodland litter. American Midland Naturalist. 148: 383-393.</t>
  </si>
  <si>
    <t>Busse, M. D., Cochran, P. H., Hopkins, W. E., Johnson, W. H., Riegel, G. M., Fiddler, G. O., Ratcliff, A.W. &amp; Shestak, C. J.  2009.  Developing resilient ponderosa pine forests with mechanical thinning and prescribed fire in central Oregon′s pumice region. Canadian Journal of Forest Research. 39: 1171-1185.</t>
  </si>
  <si>
    <t>Camann, M. A., Gillette, N. E., Lamoncha, K. L., &amp; Mori, S. R.  2008.  Response of forest soil Acari to prescribed fire following stand structure manipulation in the southern Cascade Range. Canadian Journal of Forest Research. 38: 956-968.</t>
  </si>
  <si>
    <t>Camann, M. A., Lamoncha, K. L., &amp; Gillette, N. E.  2012.  Oribatid mite community decline two years after low-intensity burning in the Southern Cascade Range of California, USA. Forests. 3: 959-985.</t>
  </si>
  <si>
    <t>Casals, P., Valor, T., Besalú, A., &amp; Molina-Terrén, D.  2016.  Understory fuel load and structure eight to nine years after prescribed burning in Mediterranean pine forests. Forest Ecology and Management. 362: 156-168.</t>
  </si>
  <si>
    <t>Collins, B. M., Moghaddas, J. J., &amp; Stephens, S. L.  2007.  Initial changes in forest structure and understory plant communities following fuel reduction activities in a Sierra Nevada mixed conifer forest. Forest Ecology and Management. 239: 102-111.</t>
  </si>
  <si>
    <t>Cook, J. E., Jensen, N., &amp; Galbraith, B.  2008.  Compositional, cover, and diversity changes after prescribed fire in a mature eastern white pine forest. Botany. 86: 1427-1439.</t>
  </si>
  <si>
    <t>Dodson, E. K., Peterson, D. W., &amp; Harrod, R. J.  2008.  Understory vegetation response to thinning and burning restoration treatments in dry conifer forests of the eastern Cascades, USA. Forest Ecology and Management. 255: 3130-3140.</t>
  </si>
  <si>
    <t>Ducherer, K., Bai, Y., Thompson, D., &amp; Broersma, K. ( 2009.  Dynamic responses of a British Columbian forest-grassland interface to prescribed burning. Western North American Naturalist. 69 (1): 75-87.</t>
  </si>
  <si>
    <t>Elliott, K. J., Vose, J. M., &amp; Hendrick, R. L.  2009.  Long-term effects of high intensity prescribed fire on vegetation dynamics in the Wine Spring Creek watershed, western North Carolina, USA. Fire Ecology. 5: 66-85.</t>
  </si>
  <si>
    <t>Elliott, K. J., &amp; Vose, J. M.  2010.  Short-term effects of prescribed fire on mixed oak forests in the southern Appalachians: Vegetation response. Journal of the Torrey Botanical Society. 137: 49-66.</t>
  </si>
  <si>
    <t>Hyvärinen, E., Kouki, J., &amp; Martikainen, P.  2009.  Prescribed fires and retention trees help to conserve beetle diversity in managed boreal forests despite their transient negative effects on some beetle groups. Insect Conservation and Diversity. 2: 93-105.</t>
  </si>
  <si>
    <t>Martikainen, P., Kouki, J., &amp; Heikkala, O. 2006.  The effects of green tree retention and subsequent prescribed burning on ground beetles (Coleoptera: Carabidae) in boreal pine-dominated forests. Ecography. 29: 659-670.</t>
  </si>
  <si>
    <t>Rodríguez, A., &amp; Kouki, J. 2015.  Emulating natural disturbance in forest management enhances pollination services for dominant Vaccinium shrubs in boreal pine-dominated forests. Forest Ecology and Management. 350: 1-12.</t>
  </si>
  <si>
    <t>Hämäläinen, A., Kouki, J., &amp; Lõhmus, P.  2015.  Potential biodiversity impacts of forest biofuel harvest: Lichen assemblages on stumps and slash of Scots pine. Canadian Journal of Forest Research. 45 (10): 1239-1247.</t>
  </si>
  <si>
    <t>Hyvärinen, E., Kouki, J., Martikainen, P., &amp; Lappalainen, H.  2005.  Short-term effects of controlled burning and green-tree retention on beetle (Coleoptera) assemblages in managed boreal forests.. Forest Ecology and Management. 212: 315-332.</t>
  </si>
  <si>
    <t>Foster, C. N., Barton, P. S., Sato, C. F., MacGregor, C. I., &amp; Lindenmayer, D. B. 2015.  Synergistic interactions between fire and browsing drive plant diversity in a forest understorey. Journal of Vegetation Science. 26 (6): 1112-1123.</t>
  </si>
  <si>
    <t>Fulé, P. Z., Springer, J. D., Huffman, D. W., &amp; Covington, W. W. 2001.  Response of a rare endemic, Penstemon clutei, to burning and reduced belowground competition. In: Southwestern Rare and Endangered Plants: Proceedings of the Third Conference. : 139-152.</t>
  </si>
  <si>
    <t>Fulé, P. Z., Laughlin, D. C., &amp; Covington, W. W.  2005.  Pine-oak forest dynamics five years after ecological restoration treatments, Arizona, USA. Forest Ecology and Management. 218: 129-145.</t>
  </si>
  <si>
    <t>Greenberg, C. H., Moorman, C. E., Raybuck, A. L., Sundol, C., Keyser, T. L., Bush, J., Simon D.M. &amp; Warburton, G. S. 2016.  Reptile and amphibian response to oak regeneration treatments in productive southern Appalachian hardwood forest.. Forest Ecology and Management. 377: 139-149.</t>
  </si>
  <si>
    <t>Henning, S. J., &amp; Dickmann, D. I. 1996.  Vegetative responses to prescribed burning in a mature red pine stand. Northern Journal of Applied Forestry. 13: 140-146.</t>
  </si>
  <si>
    <t>Huffman, D. W., Stoddard, M. T., Springer, J. D., Crouse, J. E., &amp; Chancellor, W. W.  2013.  Understory plant community responses to hazardous fuels reduction treatments in pinyon-juniper woodlands of Arizona, USA. Forest Ecology and Management. 289: 478-488.</t>
  </si>
  <si>
    <t>Huntzinger, M.  2003.  Effects of fire management practices on butterfly diversity in the forested western United States. Biological Conservation. 113: 1-12.</t>
  </si>
  <si>
    <t>Hurteau, S. R., Sisk, T. D., Block, W. M., &amp; Dickson, B. G.  2008.  Fuel-reduction treatment effects on avian community structure and diversity. Journal of Wildlife Management. 72: 1168-1174.</t>
  </si>
  <si>
    <t>Hurteau, M., &amp; North, M. 2008.  Mixed-conifer understory response to climate change, nitrogen, and fire.. Global Change Biology. 14: 1543-1552.</t>
  </si>
  <si>
    <t>Hutchinson, T., &amp; Sutherland, S.  2000.  Fire and understory vegetation: A large-scale study in Ohio and a search for general response patterns in central hardwood forests.  In: Proceedings: Workshop on Fire, People and the Cetnral Hardwood Landscape . : 64-74.</t>
  </si>
  <si>
    <t>Hutchinson, T. F., Boerner, R. E., Sutherland, S., Sutherland, E. K., Ortt, M., &amp; Iverson, L. R.  2005.  Prescribed fire effects on the herbaceous layer of mixed-oak forests. Canadian Journal of Forest Research. 35: 877-890.</t>
  </si>
  <si>
    <t>Jacobs, K. A., Nix, B., &amp; Scharenbroch, B. C.  2015.  The Effects of Prescribed Burning on Soil and Litter Invertebrate Diversity and Abundance in an Illinois Oak Woodland. Natural Areas Journal. 35 (2): 318-327.</t>
  </si>
  <si>
    <t>Kerns, B. K., Thies, W. G., &amp; Niwa, C. G.  2006.  Season and severity of prescribed burn in ponderosa pine forests: implications for understory native and exotic plants. Ecoscience. 13: 44-55.</t>
  </si>
  <si>
    <t>Kerns, B. K., Buonopane, M., Thies, W. G., &amp; Niwa, C. 2011.  Reintroducing fire into a ponderosa pine forest with and without cattle grazing: understory vegetation response. Ecosphere. 2 (5): 59: 1-23.</t>
  </si>
  <si>
    <t>King, R. 2000.  Effects of single burn events on degraded oak savanna. Ecological Restoration. 18 (4): 228-233.</t>
  </si>
  <si>
    <t>Larsen, A. L., Jacquot, J. J., Keenlance, P. W., &amp; Keough, H. L.  2016.  Effects of an ongoing oak savanna restoration on small mammals in Lower Michigan. Forest Ecology and Management. 367: 120-127.</t>
  </si>
  <si>
    <t>Lazaruk, L. W., Kernaghan, G., Macdonald, S. E., &amp; Khasa, D.  2005.  Effects of partial cutting on the ectomycorrhizae of Picea glauca forests in northwestern Alberta. Canadian Journal of Forest Research. 35: 1442-1454.</t>
  </si>
  <si>
    <t>Lettow, M. C., Brudvig, L. A., Bahlai, C. A., &amp; Landis, D. A. 2014.  Oak savanna management strategies and their differential effects on vegetative structure, understory light, and flowering forbs. Forest Ecology and Management. 329: 89-98.</t>
  </si>
  <si>
    <t>Lombardo, J. A., &amp; McCarthy, B. C.  2008.  Forest management and curculionid weevil diversity in mixed oak forests of southeastern Ohio. Natural Areas Journal. 28: 363-369.</t>
  </si>
  <si>
    <t>McGee, G. G., Leopold, D. J., &amp; Nyland, R. D.  1995.  Understory response to springtime prescribed fire in two New York transition oak forests. Forest Ecology and Management. 76: 149-168.</t>
  </si>
  <si>
    <t>McIver, J., &amp; Macke, E. 2014.  Short-Term Butterfly Response to Sagebrush Steppe Restoration Treatments. Rangeland Ecology and Management. 67 (5): 539-552.</t>
  </si>
  <si>
    <t>Dodson, E. K., Metlen, K. L., &amp; Fiedler, C. E.  2007.  Common and uncommon understory species differentially respond to restoration treatments in ponderosa pine/Douglas-fir forests, Montana. Restoration Ecology. 15: 696-708.</t>
  </si>
  <si>
    <t>Metlen, K. L., &amp; Fiedler, C. E.  2006.  Restoration treatment effects on the understory of ponderosa pine/Douglas-fir forests in western Montana, USA. Forest Ecology and Management. 222: 355-369.</t>
  </si>
  <si>
    <t>Gundale, M. J., Metlen, K. L., Fiedler, C. E., &amp; DeLuca, T. H.  2006.  Nitrogen spatial heterogeneity influences diversity following restoration in a ponderosa pine forest, Montana.. Ecological Applications. 16 (2): 479-489.</t>
  </si>
  <si>
    <t>Myers, J. A., Chase, J. M., Crandall, R. M., &amp; Jiménez, I. ( 2015.  Disturbance alters beta-diversity but not the relative importance of community assembly mechanisms. Journal of Ecology. 103: 1291-1299.</t>
  </si>
  <si>
    <t>Neill, C., Von Holle, B., Kleese, K., Ivy, K. D., Colllins, A. R., Treat, C., &amp; Dean, M. 2007.  Historical influences on the vegetation and soils of the Martha's Vineyard, Massachusetts coastal sandplain: Implications for conservation and restoration. Biological Conservation. 136 (1): 17-32.</t>
  </si>
  <si>
    <t>Nelson, C. R., Halpern, C. B., &amp; Agee, J. K. 2008.  Thinning and burning result in low-level invasion by nonnative plants but neutral effects on natives. Ecological Applications. 18: 762-770.</t>
  </si>
  <si>
    <t>Neumann, F. G., Collett, N. G., &amp; Tolhurst, K. G.  1995.  Coleoptera in litter of dry sclerophyll eucalypt forest and the effects of low-intensity prescribed fire on their activity and composition in west-central Victoria. 
. Australian Forestry, . 58(3): 83-98.</t>
  </si>
  <si>
    <t>Nunes, L., Silva, I., Pité, M., Rego, F., Leather, S., &amp; Serrano, A.  2006.  Carabid (Coleoptera) community changes following prescribed burning and the potential use of carabids as indicators species to evaluate the effects of fire management in Mediterranean regions.. Silva Lusitana. 14(1): 85-100.</t>
  </si>
  <si>
    <t>Nuttle, T., Royo, A. A., Adams, M. B., &amp; Carson, W. P. 2013.  Historic disturbance regimes promote tree diversity only under low browsing regimes in eastern deciduous forest. Ecological Monographs. 83: 3-17.</t>
  </si>
  <si>
    <t>Nuzzo, V. A., McClain, W., &amp; Strole, T. 1996.  Fire impact on groundlayer flora in a sand forest 1990-1994. American Midland Naturalist. 136 (2): 207-221.</t>
  </si>
  <si>
    <t>Nyoka, S.  2010.  Effects of fuel-reduction treatments on pollinators in a Pinyon-juniper woodland (Arizona). Ecological Restoration. 28(2): 119-121.</t>
  </si>
  <si>
    <t>Peterson, D. W., &amp; Reich, P. B.  2008.  Fire frequency and tree canopy structure influence plant species diversity in a forest-grassland ecotone. Plant Ecology. 194: 5-16.</t>
  </si>
  <si>
    <t>Raybuck, A. L., Moorman, C. E., Greenberg, C. H., DePerno, C. S., Gross, K., Simon, D. M., &amp; Warburton, G. S.  2012.  Short-term response of small mammals following oak regeneration silviculture treatments. Forest Ecology and Management. 274: 10-16.</t>
  </si>
  <si>
    <t>Reazin, C., Morris, S., Smith, J. E., Cowan, A. D., &amp; Jumpponen, A.  2016.  Fires of differing intensities rapidly select distinct soil fungal communities in a Northwest US ponderosa pine forest ecosystem.. Forest Ecology and Management. 377: 118-127.</t>
  </si>
  <si>
    <t>Royo, A. A., Collins, R., Adams, M. B., Kirschbaum, C., &amp; Carson, W. P. 2010.  Pervasive interactions between ungulate browsers and disturbance regimes promote temperate forest herbaceous diversity. Ecology. 91: 93-105.</t>
  </si>
  <si>
    <t>Russell, R. E., Royle, J. A., Saab, V. A., Lehmkuhl, J. F., Block, W. M., &amp; Sauer, J. R.  2009.  Modeling the effects of environmental disturbance on wildlife communities: Avian responses to prescribed fire. Ecological Applications. 19: 1253-1263.</t>
  </si>
  <si>
    <t>Scharenbroch, B. C., Nix, B., Jacobs, K. A., &amp; Bowles, M. L. 2012.  Two decades of low-severity prescribed fire increases soil nutrient availability in a Midwestern, USA oak (Quercus) forest. Geoderma. 183-184: 80-91.</t>
  </si>
  <si>
    <t>Scudieri, C. A., Sieg, C. H., Haase, S. M., Thode, A. E., &amp; Sackett, S. S. 2010.  Understory vegetation response after 30 years of interval prescribed burning in two ponderosa pine sites in northern Arizona, USA. Forest Ecology and Management. 260: 2134-2142.</t>
  </si>
  <si>
    <t>Smith, J. E., McKay, D., Niwa, C. G., Thies, W. G., Brenner, G., &amp; Spatafora, J. W. 2004.  Short-term effects of seasonal prescribed burning on the ectomycorrhizal fungal community and fine root biomass in ponderosa pine stands in the Blue Mountains of Oregon. Canadian Journal of Forest Research. 34: 2477-2491.</t>
  </si>
  <si>
    <t>Smith, J. E., McKay, D., Brenner, G., McIver, J. I. M., &amp; Spatafora, J. W.  2005.  Early impacts of forest restoration treatments on the ectomycorrhizal fungal community and fine root biomass in a mixed conifer forest. Journal of Applied Ecology. 42: 526-535.</t>
  </si>
  <si>
    <t>Stevens, J. T., Safford, H. D., Harrison, S., &amp; Latimer, A. M.  2015.  Forest disturbance accelerates thermophilization of understory plant communities. Journal of Ecology. 103 (5): 1253-1263.</t>
  </si>
  <si>
    <t>Strahan, R. T., Stoddard, M. T., Springer, J. D., &amp; Huffman, D. W.  2015.  Increasing weight of evidence that thinning and burning treatments help restore understory plant communities in ponderosa pine forests. Forest Ecology and Management. 353: 208-220.</t>
  </si>
  <si>
    <t>Taft, J. B., Schwartz, M. W., &amp; Philippe, L. R.  1995.  Vegetation ecology of flatwoods on the Illinoian till plain. Journal of Vegetation Science. 6 (5): 647-666.</t>
  </si>
  <si>
    <t>Toivanen, T., &amp; Kotiaho, J. S.  2007.  Mimicking natural disturbances of boreal forests: The effects of controlled burning and creating dead wood on beetle diversity. Biodiversity and Conservation. 16: 3193-3211.</t>
  </si>
  <si>
    <t>Tuininga, A. R., &amp; Dighton, J.  2004.  Changes in ectomycorrhizal communities and nutrient availability following prescribed burns in two upland pine-oak forests in the New Jersey pine barrens. Canadian Journal of Forest Research. 34 (8): 1755-1765.</t>
  </si>
  <si>
    <t>Welch, N. T., Waldrop, T. A., &amp; Buckner, E. R.  2000.  Response of southern Appalachian table mountain pine (Pinus pungens) and pitch pine (P-rigida) stands to prescribed burning. Forest Ecology and Management. 136 (1-3): 185-197.</t>
  </si>
  <si>
    <t>White, A. S.  1983.  The effects of thirteen years of annual prescribed burning on a Quercus ellipsoidalis community in Minnesota.. Ecology. 64 (5): 1081-1085 .</t>
  </si>
  <si>
    <t>Wienk, C. L., Sieg, C. H., &amp; McPherson, G. R.  2004.  Evaluating the role of cutting treatments, fire and soil seed banks in an experimental framework in ponderosa pine forests of the Black Hills, South Dakota. Forest Ecology and Management. 192: 375-393.</t>
  </si>
  <si>
    <t>Zhang, J., Ritchie, M. W., &amp; Oliver, W. W.  2008.  Vegetation responses to stand structure
and prescribed fire in an interior ponderosa pine ecosystem. . Canadian Journal of Forest Research. 38: 909-918.</t>
  </si>
  <si>
    <t xml:space="preserve"> Youngblood, A, Metlen  K. L., Coe K.. 2006. Changes in stand structure and composition after restoration treatments in low elevation dry forests of northeastern Oregon. Forest Ecology and Management, 234, 143-163.</t>
  </si>
  <si>
    <t>Weyenberg SA, and Pavlovic NB. 2014.  Vegetation Dynamics after Spring and Summer Fires in Red and White Pine Stands at Voyageurs National Park.  NATURAL AREAS JOURNAL, 34 (4), 443-458.</t>
  </si>
  <si>
    <t>Wardle D. A. and Jonsson M. 2014. Long-term resilience of above- and belowground ecosystem components among contrasting ecosystems. Ecology, 95, 1836-1849.</t>
  </si>
  <si>
    <t>Trappe J. M. ,  Nicholls A. O., Claridge A. W.  And Cork  S. J. . 2006. Prescribed burning in a Eucalyptus woodland suppresses fruiting of hypogeous fungi, an important food source for mammals. Mycological Research, 110, 1333-1339.</t>
  </si>
  <si>
    <t>Petersen S M, and Drewa P B. 2014.  Effects of biennial fire and clipping on woody and herbaceous ground layer vegetation: Implications for restoration and management of oak barren ecosystems.  Restoration Ecology, 22 (4), 525-533.</t>
  </si>
  <si>
    <t>Niwa C. G. and Peck R. W. . 2002. Influence of prescribed fire on carabid beetle (Carabidae) and spider (Araneae) assemblages in forest litter in southwestern Oregon. Environmental Entomology, 31, 785-796.</t>
  </si>
  <si>
    <t>Mattingly KZ, McEwan RW, Paratley RD, Bray SR, Lempke JR, and Arthur MA. 2016.  Recovery of forest floor diversity after removal of the nonnative, invasive plant Euonymus fortunei.  JOURNAL OF THE TORREY BOTANICAL SOCIETY, 143 (2), 103-116.</t>
  </si>
  <si>
    <t>Lindenmayer DB, Wood J, MacGregor C, Buckley YM, Dexter N, Fortescue M, Hobbs RJ, and Catford JA.. 2015.  A Long-Term Experimental Case Study of the Ecological Effectiveness and Cost Effectiveness of Invasive Plant Management in Achieving Conservation Goals: Bitou Bush Control in Booderee National Park in Eastern Australia..  PLOS ONE, 10(6), e0128482..</t>
  </si>
  <si>
    <t>Kirkpatrick J B, Gilfedder L, Bridle K, and Zacharek A.  . 2005. The positive and negative conservation impacts of sheep grazing and other disturbances on the vascular plant species and vegetation of lowland subhumid Tasmania.. Ecological Management and Restoration, 6 (1), 51-60.</t>
  </si>
  <si>
    <t>Huisinga K. D., Laughlin D. C.,  Fulé P. Z., Springer J. D, and C. M. McGlone. 2005. Effects of an intense prescribed fire on understory vegetation in a mixed conifer forest. Journal of the Torrey Botanical Society, 132, 590-601.</t>
  </si>
  <si>
    <t>Holsten E H; Werner R A; Develice R L; . 1995. Effects of a spruce beetle (Coleoptera: Scolytidae) outbreak and fire on Lutz spruce in Alaska.. Population Ecology, 24 (6), 1539-1547.</t>
  </si>
  <si>
    <t>Edwards M, Krawchuk MA, and Burton PJ. 2015. Short-interval disturbance in lodgepole pine forests, British Columbia, Canada: Understory and overstory response to mountain pine beetle and fire. FOREST ECOLOGY AND MANAGEMENT, 338, 163-175.</t>
  </si>
  <si>
    <t>Crossley DAJ, Hansen RA, and Lamoncha KL. 1997.  Response of forest floor microarthropods to a forest regeneration burn at Wine Spring watershed (Southern Appalachians). First Biennial North American Forest Ecology Workshop, June 22-24, , .</t>
  </si>
  <si>
    <t>Castoldi E, Quintana JR, Mata RG, and Molina JA. 2013.  Early post-fire plant succession in slash-pile prescribed burns of a sub-Mediterranean managed forest.  PLANT ECOLOGY AND EVOLUTION, 146 (3), 272-278.</t>
  </si>
  <si>
    <t>Busse M. D. , Cochran P. H. , Hopkins W. E. , Johnson W. H.  Riegel G. M, Fiddler G. O. ,  Ratcliff A. W. and C. J. Shestak. 2009. Developing resilient ponderosa pine forests with mechanical thinning and prescribed fire in central Oregon′s pumice region. Canadian Journal of Forest Research, 39, 1171-1185.</t>
  </si>
  <si>
    <t>Citation</t>
  </si>
  <si>
    <t>Further _outcome_info</t>
  </si>
  <si>
    <t>Replicated burns, OR a single large, burn area, with samples considered to be representative and spatially independent</t>
  </si>
  <si>
    <r>
      <t xml:space="preserve">Effects of partial cutting on the ectomycorrhizae of </t>
    </r>
    <r>
      <rPr>
        <i/>
        <sz val="11"/>
        <color theme="1"/>
        <rFont val="Calibri (Body)_x0000_"/>
      </rPr>
      <t>Picea glauca</t>
    </r>
    <r>
      <rPr>
        <sz val="11"/>
        <color theme="1"/>
        <rFont val="Calibri (Body)_x0000_"/>
      </rPr>
      <t xml:space="preserve"> forests in northwestern Alberta</t>
    </r>
  </si>
  <si>
    <t>39.20 N; 39.35 N</t>
  </si>
  <si>
    <t>82.37 W;82.39 W</t>
  </si>
  <si>
    <r>
      <t>Two decades of low-severity prescribed fire increases soil nutrient availability in a Midwestern, USA oak (</t>
    </r>
    <r>
      <rPr>
        <i/>
        <sz val="11"/>
        <color theme="1"/>
        <rFont val="Calibri (Body)_x0000_"/>
      </rPr>
      <t>Quercus</t>
    </r>
    <r>
      <rPr>
        <sz val="11"/>
        <color theme="1"/>
        <rFont val="Calibri (Body)_x0000_"/>
      </rPr>
      <t>) forest</t>
    </r>
  </si>
  <si>
    <t>44.5 N</t>
  </si>
  <si>
    <t>Additional file 10. Data extraction and validity assessment of quantitative synthesis studies</t>
  </si>
</sst>
</file>

<file path=xl/styles.xml><?xml version="1.0" encoding="utf-8"?>
<styleSheet xmlns="http://schemas.openxmlformats.org/spreadsheetml/2006/main">
  <fonts count="26">
    <font>
      <sz val="12"/>
      <color theme="1"/>
      <name val="Calibri"/>
      <family val="2"/>
      <scheme val="minor"/>
    </font>
    <font>
      <u/>
      <sz val="12"/>
      <color theme="11"/>
      <name val="Calibri"/>
      <family val="2"/>
      <scheme val="minor"/>
    </font>
    <font>
      <b/>
      <sz val="12"/>
      <color theme="1"/>
      <name val="Calibri"/>
      <family val="2"/>
      <scheme val="minor"/>
    </font>
    <font>
      <u/>
      <sz val="12"/>
      <color theme="10"/>
      <name val="Calibri"/>
      <family val="2"/>
      <scheme val="minor"/>
    </font>
    <font>
      <sz val="12"/>
      <color rgb="FF000000"/>
      <name val="Calibri"/>
      <family val="2"/>
      <scheme val="minor"/>
    </font>
    <font>
      <b/>
      <sz val="12"/>
      <color rgb="FF000000"/>
      <name val="Calibri"/>
      <family val="2"/>
      <scheme val="minor"/>
    </font>
    <font>
      <sz val="11"/>
      <color theme="1"/>
      <name val="Calibri"/>
      <family val="2"/>
      <scheme val="minor"/>
    </font>
    <font>
      <sz val="11"/>
      <color indexed="8"/>
      <name val="Calibri"/>
      <family val="2"/>
    </font>
    <font>
      <b/>
      <sz val="8"/>
      <color indexed="81"/>
      <name val="Tahoma"/>
      <family val="2"/>
    </font>
    <font>
      <sz val="8"/>
      <color indexed="81"/>
      <name val="Tahoma"/>
      <family val="2"/>
    </font>
    <font>
      <b/>
      <sz val="9"/>
      <color indexed="81"/>
      <name val="Calibri"/>
      <family val="2"/>
    </font>
    <font>
      <sz val="9"/>
      <color indexed="81"/>
      <name val="Calibri"/>
      <family val="2"/>
    </font>
    <font>
      <sz val="10"/>
      <color indexed="8"/>
      <name val="Arial"/>
      <family val="2"/>
    </font>
    <font>
      <b/>
      <sz val="11"/>
      <color theme="1"/>
      <name val="Calibri"/>
      <family val="2"/>
    </font>
    <font>
      <b/>
      <sz val="12"/>
      <color theme="1"/>
      <name val="Calibri"/>
      <family val="2"/>
    </font>
    <font>
      <b/>
      <sz val="12"/>
      <color rgb="FF000000"/>
      <name val="Calibri"/>
      <family val="2"/>
    </font>
    <font>
      <b/>
      <sz val="9"/>
      <color rgb="FF000000"/>
      <name val="Calibri"/>
      <family val="2"/>
    </font>
    <font>
      <sz val="9"/>
      <color rgb="FF000000"/>
      <name val="Calibri"/>
      <family val="2"/>
    </font>
    <font>
      <b/>
      <sz val="18"/>
      <color theme="1"/>
      <name val="Calibri (Body)_x0000_"/>
    </font>
    <font>
      <sz val="11"/>
      <color theme="1"/>
      <name val="Calibri (Body)_x0000_"/>
    </font>
    <font>
      <b/>
      <sz val="11"/>
      <color theme="1"/>
      <name val="Calibri (Body)_x0000_"/>
    </font>
    <font>
      <sz val="12"/>
      <color theme="1"/>
      <name val="Calibri (Body)_x0000_"/>
    </font>
    <font>
      <u/>
      <sz val="11"/>
      <color theme="1"/>
      <name val="Calibri (Body)_x0000_"/>
    </font>
    <font>
      <sz val="10"/>
      <color theme="1"/>
      <name val="Calibri (Body)_x0000_"/>
    </font>
    <font>
      <i/>
      <sz val="11"/>
      <color theme="1"/>
      <name val="Calibri (Body)_x0000_"/>
    </font>
    <font>
      <b/>
      <sz val="12"/>
      <color theme="1"/>
      <name val="Calibri (Body)_x0000_"/>
    </font>
  </fonts>
  <fills count="5">
    <fill>
      <patternFill patternType="none"/>
    </fill>
    <fill>
      <patternFill patternType="gray125"/>
    </fill>
    <fill>
      <patternFill patternType="solid">
        <fgColor rgb="FFFFFFCC"/>
      </patternFill>
    </fill>
    <fill>
      <patternFill patternType="solid">
        <fgColor theme="7" tint="0.79998168889431442"/>
        <bgColor indexed="64"/>
      </patternFill>
    </fill>
    <fill>
      <patternFill patternType="solid">
        <fgColor theme="0" tint="-4.9989318521683403E-2"/>
        <bgColor indexed="64"/>
      </patternFill>
    </fill>
  </fills>
  <borders count="14">
    <border>
      <left/>
      <right/>
      <top/>
      <bottom/>
      <diagonal/>
    </border>
    <border>
      <left style="thin">
        <color rgb="FFB2B2B2"/>
      </left>
      <right style="thin">
        <color rgb="FFB2B2B2"/>
      </right>
      <top style="thin">
        <color rgb="FFB2B2B2"/>
      </top>
      <bottom style="thin">
        <color rgb="FFB2B2B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D9D9D9"/>
      </left>
      <right style="thin">
        <color rgb="FFD9D9D9"/>
      </right>
      <top style="thin">
        <color rgb="FFD9D9D9"/>
      </top>
      <bottom style="thin">
        <color rgb="FFD9D9D9"/>
      </bottom>
      <diagonal/>
    </border>
    <border>
      <left style="thin">
        <color theme="0" tint="-0.14999847407452621"/>
      </left>
      <right style="thin">
        <color theme="0" tint="-0.14999847407452621"/>
      </right>
      <top/>
      <bottom style="thin">
        <color theme="0" tint="-0.14999847407452621"/>
      </bottom>
      <diagonal/>
    </border>
    <border>
      <left style="thin">
        <color theme="2"/>
      </left>
      <right style="thin">
        <color theme="2"/>
      </right>
      <top style="thin">
        <color theme="2"/>
      </top>
      <bottom style="thin">
        <color theme="2"/>
      </bottom>
      <diagonal/>
    </border>
    <border>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
      <left/>
      <right style="thin">
        <color rgb="FFD9D9D9"/>
      </right>
      <top/>
      <bottom style="thin">
        <color rgb="FFD9D9D9"/>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auto="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auto="1"/>
      </bottom>
      <diagonal/>
    </border>
  </borders>
  <cellStyleXfs count="7264">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6" fillId="0" borderId="0"/>
    <xf numFmtId="0" fontId="7" fillId="2" borderId="1" applyNumberFormat="0" applyFont="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12" fillId="0" borderId="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cellStyleXfs>
  <cellXfs count="203">
    <xf numFmtId="0" fontId="0" fillId="0" borderId="0" xfId="0"/>
    <xf numFmtId="0" fontId="2" fillId="0" borderId="0" xfId="0" applyFont="1" applyAlignment="1">
      <alignment horizontal="left" vertical="top" wrapText="1"/>
    </xf>
    <xf numFmtId="0" fontId="4" fillId="0" borderId="0" xfId="0" applyFont="1" applyFill="1" applyAlignment="1">
      <alignment horizontal="left" vertical="top" wrapText="1"/>
    </xf>
    <xf numFmtId="0" fontId="2" fillId="0" borderId="0" xfId="0" applyFont="1" applyFill="1" applyAlignment="1">
      <alignment horizontal="left" vertical="top" wrapText="1"/>
    </xf>
    <xf numFmtId="0" fontId="0" fillId="0" borderId="0" xfId="0" applyFont="1" applyFill="1" applyAlignment="1">
      <alignment horizontal="left" vertical="top" wrapText="1"/>
    </xf>
    <xf numFmtId="0" fontId="4" fillId="0" borderId="3" xfId="0" applyFont="1" applyFill="1" applyBorder="1" applyAlignment="1">
      <alignment horizontal="left" vertical="top" wrapText="1"/>
    </xf>
    <xf numFmtId="0" fontId="0" fillId="0" borderId="2" xfId="145" applyFont="1" applyFill="1" applyBorder="1" applyAlignment="1">
      <alignment horizontal="left" vertical="top" wrapText="1"/>
    </xf>
    <xf numFmtId="0" fontId="2" fillId="4" borderId="0" xfId="0" applyFont="1" applyFill="1" applyAlignment="1">
      <alignment horizontal="left" vertical="top" wrapText="1"/>
    </xf>
    <xf numFmtId="0" fontId="5" fillId="4" borderId="0" xfId="0" applyFont="1" applyFill="1" applyAlignment="1">
      <alignment horizontal="left" vertical="top" wrapText="1"/>
    </xf>
    <xf numFmtId="0" fontId="4" fillId="0" borderId="3" xfId="0" applyFont="1" applyBorder="1" applyAlignment="1">
      <alignment horizontal="left" vertical="top" wrapText="1"/>
    </xf>
    <xf numFmtId="0" fontId="4" fillId="0" borderId="0" xfId="0" applyFont="1" applyBorder="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0" fillId="4" borderId="0" xfId="0" applyFont="1" applyFill="1" applyAlignment="1">
      <alignment horizontal="left" vertical="top" wrapText="1"/>
    </xf>
    <xf numFmtId="0" fontId="4" fillId="4" borderId="0" xfId="0" applyFont="1" applyFill="1" applyAlignment="1">
      <alignment horizontal="left" vertical="top" wrapText="1"/>
    </xf>
    <xf numFmtId="0" fontId="0" fillId="0" borderId="0" xfId="145" applyFont="1" applyFill="1" applyBorder="1" applyAlignment="1">
      <alignment horizontal="left" vertical="top"/>
    </xf>
    <xf numFmtId="0" fontId="0" fillId="0" borderId="2" xfId="0" applyFont="1" applyFill="1" applyBorder="1" applyAlignment="1">
      <alignment horizontal="left" vertical="top" wrapText="1"/>
    </xf>
    <xf numFmtId="0" fontId="0" fillId="0" borderId="0" xfId="0" applyFont="1" applyFill="1" applyBorder="1" applyAlignment="1">
      <alignment vertical="top" wrapText="1"/>
    </xf>
    <xf numFmtId="0" fontId="0" fillId="0" borderId="0"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Fill="1" applyBorder="1" applyAlignment="1">
      <alignment horizontal="left" vertical="top" wrapText="1"/>
    </xf>
    <xf numFmtId="0" fontId="13" fillId="0" borderId="2" xfId="0" applyNumberFormat="1" applyFont="1" applyFill="1" applyBorder="1" applyAlignment="1">
      <alignment horizontal="left" vertical="top"/>
    </xf>
    <xf numFmtId="0" fontId="0" fillId="3" borderId="0" xfId="0" applyFont="1" applyFill="1" applyAlignment="1">
      <alignment horizontal="left" vertical="top" wrapText="1"/>
    </xf>
    <xf numFmtId="0" fontId="0" fillId="0" borderId="0" xfId="0" applyFont="1" applyFill="1" applyBorder="1" applyAlignment="1">
      <alignment vertical="top"/>
    </xf>
    <xf numFmtId="0" fontId="0" fillId="0" borderId="0" xfId="0" applyFont="1" applyFill="1" applyAlignment="1">
      <alignment horizontal="left" vertical="top"/>
    </xf>
    <xf numFmtId="0" fontId="14" fillId="0" borderId="2" xfId="0" applyNumberFormat="1" applyFont="1" applyFill="1" applyBorder="1" applyAlignment="1">
      <alignment horizontal="left" vertical="top"/>
    </xf>
    <xf numFmtId="0" fontId="14" fillId="0" borderId="2" xfId="0" applyNumberFormat="1" applyFont="1" applyFill="1" applyBorder="1" applyAlignment="1">
      <alignment vertical="top"/>
    </xf>
    <xf numFmtId="0" fontId="0" fillId="0" borderId="0" xfId="145" applyFont="1" applyFill="1" applyBorder="1" applyAlignment="1">
      <alignment horizontal="left" vertical="top" wrapText="1"/>
    </xf>
    <xf numFmtId="0" fontId="0" fillId="0" borderId="5" xfId="0" applyFont="1" applyFill="1" applyBorder="1" applyAlignment="1">
      <alignment horizontal="left" vertical="top" wrapText="1"/>
    </xf>
    <xf numFmtId="0" fontId="4" fillId="0" borderId="2" xfId="0" applyFont="1" applyFill="1" applyBorder="1" applyAlignment="1">
      <alignment horizontal="left" vertical="top" wrapText="1"/>
    </xf>
    <xf numFmtId="0" fontId="0" fillId="0" borderId="3" xfId="145"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0" xfId="0" applyFont="1" applyBorder="1" applyAlignment="1">
      <alignment horizontal="left" vertical="top" wrapText="1"/>
    </xf>
    <xf numFmtId="0" fontId="14" fillId="0" borderId="0" xfId="0" applyFont="1" applyFill="1" applyAlignment="1">
      <alignment horizontal="left" vertical="top" wrapText="1"/>
    </xf>
    <xf numFmtId="0" fontId="14" fillId="0" borderId="2" xfId="0" applyFont="1" applyFill="1" applyBorder="1" applyAlignment="1">
      <alignment horizontal="left" vertical="top"/>
    </xf>
    <xf numFmtId="0" fontId="14" fillId="0" borderId="2" xfId="0" applyFont="1" applyFill="1" applyBorder="1" applyAlignment="1">
      <alignment vertical="top"/>
    </xf>
    <xf numFmtId="0" fontId="14" fillId="0" borderId="2" xfId="145" applyNumberFormat="1" applyFont="1" applyFill="1" applyBorder="1" applyAlignment="1">
      <alignment vertical="top"/>
    </xf>
    <xf numFmtId="0" fontId="14" fillId="0" borderId="3" xfId="0" applyFont="1" applyFill="1" applyBorder="1" applyAlignment="1">
      <alignment horizontal="left" vertical="top"/>
    </xf>
    <xf numFmtId="0" fontId="15" fillId="0" borderId="2" xfId="0" applyFont="1" applyFill="1" applyBorder="1" applyAlignment="1">
      <alignment horizontal="left" vertical="top"/>
    </xf>
    <xf numFmtId="0" fontId="14" fillId="0" borderId="0" xfId="0" applyNumberFormat="1" applyFont="1" applyFill="1" applyBorder="1" applyAlignment="1">
      <alignment horizontal="left" vertical="top"/>
    </xf>
    <xf numFmtId="0" fontId="14" fillId="0" borderId="0" xfId="145" applyFont="1" applyFill="1" applyBorder="1" applyAlignment="1">
      <alignment horizontal="left" vertical="top"/>
    </xf>
    <xf numFmtId="0" fontId="14" fillId="0" borderId="5" xfId="0" applyFont="1" applyFill="1" applyBorder="1" applyAlignment="1">
      <alignment horizontal="left" vertical="top"/>
    </xf>
    <xf numFmtId="0" fontId="14" fillId="0" borderId="5" xfId="0" applyNumberFormat="1" applyFont="1" applyFill="1" applyBorder="1" applyAlignment="1">
      <alignment horizontal="left" vertical="top"/>
    </xf>
    <xf numFmtId="0" fontId="14" fillId="0" borderId="0" xfId="0" applyFont="1" applyFill="1" applyBorder="1" applyAlignment="1">
      <alignment vertical="top"/>
    </xf>
    <xf numFmtId="0" fontId="14" fillId="0" borderId="0" xfId="0" applyNumberFormat="1" applyFont="1" applyFill="1" applyBorder="1" applyAlignment="1">
      <alignment vertical="top"/>
    </xf>
    <xf numFmtId="0" fontId="14" fillId="0" borderId="5" xfId="0" applyFont="1" applyFill="1" applyBorder="1" applyAlignment="1">
      <alignment vertical="top"/>
    </xf>
    <xf numFmtId="0" fontId="15" fillId="0" borderId="2" xfId="0" applyNumberFormat="1" applyFont="1" applyFill="1" applyBorder="1" applyAlignment="1">
      <alignment vertical="top"/>
    </xf>
    <xf numFmtId="0" fontId="14" fillId="0" borderId="0" xfId="0" applyFont="1" applyFill="1" applyBorder="1" applyAlignment="1">
      <alignment horizontal="left" vertical="top"/>
    </xf>
    <xf numFmtId="0" fontId="15" fillId="0" borderId="5" xfId="0" applyNumberFormat="1" applyFont="1" applyFill="1" applyBorder="1" applyAlignment="1">
      <alignment vertical="top"/>
    </xf>
    <xf numFmtId="0" fontId="14" fillId="0" borderId="5" xfId="0" applyFont="1" applyFill="1" applyBorder="1" applyAlignment="1">
      <alignment vertical="top" wrapText="1"/>
    </xf>
    <xf numFmtId="0" fontId="14" fillId="0" borderId="5" xfId="0" applyNumberFormat="1" applyFont="1" applyFill="1" applyBorder="1" applyAlignment="1">
      <alignment vertical="top"/>
    </xf>
    <xf numFmtId="0" fontId="14" fillId="0" borderId="2" xfId="145" applyFont="1" applyFill="1" applyBorder="1" applyAlignment="1">
      <alignment horizontal="left" vertical="top"/>
    </xf>
    <xf numFmtId="0" fontId="14" fillId="0" borderId="2" xfId="0" applyFont="1" applyFill="1" applyBorder="1" applyAlignment="1">
      <alignment vertical="top" wrapText="1"/>
    </xf>
    <xf numFmtId="0" fontId="14" fillId="0" borderId="2"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4" xfId="145" applyFont="1" applyFill="1" applyBorder="1" applyAlignment="1">
      <alignment horizontal="left" vertical="top"/>
    </xf>
    <xf numFmtId="0" fontId="14" fillId="0" borderId="5" xfId="145" applyFont="1" applyFill="1" applyBorder="1" applyAlignment="1">
      <alignment horizontal="left" vertical="top"/>
    </xf>
    <xf numFmtId="0" fontId="14" fillId="0" borderId="5" xfId="0" applyFont="1" applyFill="1" applyBorder="1" applyAlignment="1">
      <alignment horizontal="left" vertical="top" wrapText="1"/>
    </xf>
    <xf numFmtId="0" fontId="14" fillId="0" borderId="5" xfId="145" applyFont="1" applyFill="1" applyBorder="1" applyAlignment="1">
      <alignment horizontal="left" vertical="top" wrapText="1"/>
    </xf>
    <xf numFmtId="0" fontId="2" fillId="0" borderId="0" xfId="145" applyFont="1" applyFill="1" applyBorder="1" applyAlignment="1">
      <alignment horizontal="left" vertical="top"/>
    </xf>
    <xf numFmtId="0" fontId="0" fillId="0" borderId="0" xfId="0" applyFill="1" applyAlignment="1">
      <alignment vertical="top"/>
    </xf>
    <xf numFmtId="0" fontId="2" fillId="0" borderId="0" xfId="0" applyFont="1" applyFill="1" applyAlignment="1">
      <alignment horizontal="left" vertical="top"/>
    </xf>
    <xf numFmtId="0" fontId="18" fillId="0" borderId="2" xfId="145" applyNumberFormat="1" applyFont="1" applyFill="1" applyBorder="1" applyAlignment="1">
      <alignment horizontal="left" vertical="top"/>
    </xf>
    <xf numFmtId="0" fontId="19" fillId="0" borderId="2" xfId="145" applyNumberFormat="1" applyFont="1" applyFill="1" applyBorder="1" applyAlignment="1">
      <alignment vertical="top" wrapText="1"/>
    </xf>
    <xf numFmtId="0" fontId="19" fillId="0" borderId="2" xfId="145" applyNumberFormat="1" applyFont="1" applyFill="1" applyBorder="1" applyAlignment="1">
      <alignment horizontal="left" vertical="top" wrapText="1"/>
    </xf>
    <xf numFmtId="0" fontId="20" fillId="0" borderId="2" xfId="145" applyNumberFormat="1" applyFont="1" applyFill="1" applyBorder="1" applyAlignment="1">
      <alignment vertical="top" wrapText="1"/>
    </xf>
    <xf numFmtId="0" fontId="21" fillId="0" borderId="0" xfId="0" applyFont="1" applyFill="1"/>
    <xf numFmtId="0" fontId="19" fillId="0" borderId="2" xfId="145" applyNumberFormat="1" applyFont="1" applyFill="1" applyBorder="1" applyAlignment="1">
      <alignment horizontal="right" vertical="top" wrapText="1"/>
    </xf>
    <xf numFmtId="0" fontId="19" fillId="0" borderId="0" xfId="0" applyFont="1" applyFill="1"/>
    <xf numFmtId="2" fontId="19" fillId="0" borderId="2" xfId="145" applyNumberFormat="1" applyFont="1" applyFill="1" applyBorder="1" applyAlignment="1">
      <alignment horizontal="right" vertical="top" wrapText="1"/>
    </xf>
    <xf numFmtId="2" fontId="20" fillId="0" borderId="2" xfId="145" applyNumberFormat="1" applyFont="1" applyFill="1" applyBorder="1" applyAlignment="1">
      <alignment horizontal="right" vertical="top" wrapText="1"/>
    </xf>
    <xf numFmtId="2" fontId="19" fillId="0" borderId="2" xfId="145" applyNumberFormat="1" applyFont="1" applyFill="1" applyBorder="1" applyAlignment="1">
      <alignment vertical="top" wrapText="1"/>
    </xf>
    <xf numFmtId="0" fontId="19" fillId="0" borderId="2" xfId="146" applyNumberFormat="1" applyFont="1" applyFill="1" applyBorder="1" applyAlignment="1">
      <alignment vertical="top" wrapText="1"/>
    </xf>
    <xf numFmtId="0" fontId="20" fillId="0" borderId="2" xfId="146" applyNumberFormat="1" applyFont="1" applyFill="1" applyBorder="1" applyAlignment="1">
      <alignment vertical="top" wrapText="1"/>
    </xf>
    <xf numFmtId="0" fontId="20" fillId="0" borderId="0" xfId="0" applyFont="1" applyFill="1" applyAlignment="1">
      <alignment vertical="top"/>
    </xf>
    <xf numFmtId="2" fontId="20" fillId="0" borderId="2" xfId="145" applyNumberFormat="1" applyFont="1" applyFill="1" applyBorder="1" applyAlignment="1">
      <alignment vertical="top" wrapText="1"/>
    </xf>
    <xf numFmtId="0" fontId="22" fillId="0" borderId="2" xfId="145" applyNumberFormat="1" applyFont="1" applyFill="1" applyBorder="1" applyAlignment="1">
      <alignment vertical="top" wrapText="1"/>
    </xf>
    <xf numFmtId="0" fontId="19" fillId="0" borderId="2" xfId="0" applyNumberFormat="1" applyFont="1" applyFill="1" applyBorder="1" applyAlignment="1">
      <alignment vertical="top" wrapText="1"/>
    </xf>
    <xf numFmtId="0" fontId="20" fillId="0" borderId="2" xfId="145" applyNumberFormat="1" applyFont="1" applyFill="1" applyBorder="1" applyAlignment="1">
      <alignment horizontal="right" vertical="top"/>
    </xf>
    <xf numFmtId="0" fontId="19" fillId="0" borderId="2" xfId="0" applyNumberFormat="1" applyFont="1" applyFill="1" applyBorder="1" applyAlignment="1">
      <alignment vertical="top"/>
    </xf>
    <xf numFmtId="0" fontId="23" fillId="0" borderId="4" xfId="0" applyFont="1" applyFill="1" applyBorder="1" applyAlignment="1">
      <alignment horizontal="left" vertical="top" wrapText="1"/>
    </xf>
    <xf numFmtId="0" fontId="19" fillId="0" borderId="2" xfId="0" applyNumberFormat="1" applyFont="1" applyFill="1" applyBorder="1" applyAlignment="1">
      <alignment horizontal="left" vertical="top"/>
    </xf>
    <xf numFmtId="0" fontId="19" fillId="0" borderId="2" xfId="145" applyNumberFormat="1" applyFont="1" applyFill="1" applyBorder="1" applyAlignment="1">
      <alignment vertical="top"/>
    </xf>
    <xf numFmtId="0" fontId="20" fillId="0" borderId="2" xfId="145" applyNumberFormat="1" applyFont="1" applyFill="1" applyBorder="1" applyAlignment="1">
      <alignment vertical="top"/>
    </xf>
    <xf numFmtId="0" fontId="19" fillId="0" borderId="2" xfId="145" applyNumberFormat="1" applyFont="1" applyFill="1" applyBorder="1" applyAlignment="1">
      <alignment horizontal="left" vertical="top"/>
    </xf>
    <xf numFmtId="0" fontId="19" fillId="0" borderId="0" xfId="145" applyNumberFormat="1" applyFont="1" applyFill="1" applyBorder="1" applyAlignment="1">
      <alignment horizontal="left" vertical="top"/>
    </xf>
    <xf numFmtId="0" fontId="19" fillId="0" borderId="2" xfId="145" applyNumberFormat="1" applyFont="1" applyFill="1" applyBorder="1" applyAlignment="1">
      <alignment horizontal="right" vertical="top"/>
    </xf>
    <xf numFmtId="49" fontId="19" fillId="0" borderId="2" xfId="145" applyNumberFormat="1" applyFont="1" applyFill="1" applyBorder="1" applyAlignment="1">
      <alignment horizontal="right" vertical="top"/>
    </xf>
    <xf numFmtId="2" fontId="20" fillId="0" borderId="2" xfId="145" applyNumberFormat="1" applyFont="1" applyFill="1" applyBorder="1" applyAlignment="1">
      <alignment horizontal="right" vertical="top"/>
    </xf>
    <xf numFmtId="2" fontId="19" fillId="0" borderId="2" xfId="145" applyNumberFormat="1" applyFont="1" applyFill="1" applyBorder="1" applyAlignment="1">
      <alignment vertical="top"/>
    </xf>
    <xf numFmtId="2" fontId="19" fillId="0" borderId="2" xfId="145" applyNumberFormat="1" applyFont="1" applyFill="1" applyBorder="1" applyAlignment="1">
      <alignment horizontal="right" vertical="top"/>
    </xf>
    <xf numFmtId="0" fontId="19" fillId="0" borderId="2" xfId="0" applyFont="1" applyFill="1" applyBorder="1" applyAlignment="1">
      <alignment horizontal="left" vertical="top"/>
    </xf>
    <xf numFmtId="49" fontId="19" fillId="0" borderId="2" xfId="0" applyNumberFormat="1" applyFont="1" applyFill="1" applyBorder="1" applyAlignment="1">
      <alignment horizontal="left" vertical="top"/>
    </xf>
    <xf numFmtId="0" fontId="20" fillId="0" borderId="2" xfId="145" applyNumberFormat="1" applyFont="1" applyFill="1" applyBorder="1" applyAlignment="1">
      <alignment horizontal="left" vertical="top"/>
    </xf>
    <xf numFmtId="0" fontId="19" fillId="0" borderId="2" xfId="0" applyFont="1" applyFill="1" applyBorder="1" applyAlignment="1">
      <alignment horizontal="left" vertical="top" wrapText="1"/>
    </xf>
    <xf numFmtId="0" fontId="20" fillId="0" borderId="2" xfId="0" applyNumberFormat="1" applyFont="1" applyFill="1" applyBorder="1" applyAlignment="1">
      <alignment horizontal="left" vertical="top"/>
    </xf>
    <xf numFmtId="0" fontId="19" fillId="0" borderId="2" xfId="0" applyFont="1" applyFill="1" applyBorder="1" applyAlignment="1">
      <alignment vertical="top"/>
    </xf>
    <xf numFmtId="0" fontId="20" fillId="0" borderId="2" xfId="0" applyNumberFormat="1" applyFont="1" applyFill="1" applyBorder="1" applyAlignment="1">
      <alignment vertical="top"/>
    </xf>
    <xf numFmtId="0" fontId="19" fillId="0" borderId="2" xfId="146" applyNumberFormat="1" applyFont="1" applyFill="1" applyBorder="1" applyAlignment="1">
      <alignment vertical="top"/>
    </xf>
    <xf numFmtId="0" fontId="19" fillId="0" borderId="0" xfId="0" applyNumberFormat="1" applyFont="1" applyFill="1" applyBorder="1" applyAlignment="1">
      <alignment horizontal="left" vertical="top"/>
    </xf>
    <xf numFmtId="0" fontId="19" fillId="0" borderId="2" xfId="0" applyNumberFormat="1" applyFont="1" applyFill="1" applyBorder="1" applyAlignment="1">
      <alignment horizontal="right" vertical="top"/>
    </xf>
    <xf numFmtId="2" fontId="19" fillId="0" borderId="0" xfId="145" applyNumberFormat="1" applyFont="1" applyFill="1" applyBorder="1" applyAlignment="1">
      <alignment horizontal="right" vertical="top"/>
    </xf>
    <xf numFmtId="2" fontId="19" fillId="0" borderId="2" xfId="0" applyNumberFormat="1" applyFont="1" applyFill="1" applyBorder="1" applyAlignment="1">
      <alignment horizontal="right" vertical="top"/>
    </xf>
    <xf numFmtId="0" fontId="24" fillId="0" borderId="2" xfId="0" applyNumberFormat="1" applyFont="1" applyFill="1" applyBorder="1" applyAlignment="1">
      <alignment horizontal="left" vertical="top"/>
    </xf>
    <xf numFmtId="0" fontId="19" fillId="0" borderId="0" xfId="0" applyFont="1" applyFill="1" applyBorder="1" applyAlignment="1">
      <alignment horizontal="left" vertical="top"/>
    </xf>
    <xf numFmtId="0" fontId="20" fillId="0" borderId="2" xfId="145" applyNumberFormat="1" applyFont="1" applyFill="1" applyBorder="1" applyAlignment="1">
      <alignment horizontal="right" vertical="top" wrapText="1"/>
    </xf>
    <xf numFmtId="0" fontId="19" fillId="0" borderId="2" xfId="0" applyFont="1" applyFill="1" applyBorder="1"/>
    <xf numFmtId="0" fontId="19" fillId="0" borderId="0" xfId="0" applyFont="1" applyFill="1" applyAlignment="1">
      <alignment horizontal="left" vertical="top"/>
    </xf>
    <xf numFmtId="0" fontId="19" fillId="0" borderId="2" xfId="0" applyFont="1" applyFill="1" applyBorder="1" applyAlignment="1">
      <alignment horizontal="right"/>
    </xf>
    <xf numFmtId="0" fontId="20" fillId="0" borderId="2" xfId="0" applyFont="1" applyFill="1" applyBorder="1" applyAlignment="1">
      <alignment horizontal="left"/>
    </xf>
    <xf numFmtId="0" fontId="19" fillId="0" borderId="2" xfId="0" applyFont="1" applyFill="1" applyBorder="1" applyAlignment="1">
      <alignment horizontal="left"/>
    </xf>
    <xf numFmtId="49" fontId="19" fillId="0" borderId="2" xfId="145" applyNumberFormat="1" applyFont="1" applyFill="1" applyBorder="1" applyAlignment="1">
      <alignment horizontal="left" vertical="top"/>
    </xf>
    <xf numFmtId="0" fontId="21" fillId="0" borderId="2" xfId="0" applyFont="1" applyFill="1" applyBorder="1"/>
    <xf numFmtId="0" fontId="25" fillId="0" borderId="2" xfId="0" applyFont="1" applyFill="1" applyBorder="1"/>
    <xf numFmtId="0" fontId="21" fillId="0" borderId="2" xfId="0" applyFont="1" applyFill="1" applyBorder="1" applyAlignment="1">
      <alignment horizontal="right"/>
    </xf>
    <xf numFmtId="0" fontId="19" fillId="0" borderId="0" xfId="145" applyNumberFormat="1" applyFont="1" applyFill="1" applyBorder="1" applyAlignment="1">
      <alignment horizontal="right" vertical="top"/>
    </xf>
    <xf numFmtId="0" fontId="19" fillId="0" borderId="3" xfId="145" applyNumberFormat="1" applyFont="1" applyFill="1" applyBorder="1" applyAlignment="1">
      <alignment vertical="top"/>
    </xf>
    <xf numFmtId="0" fontId="19" fillId="0" borderId="3" xfId="145" applyNumberFormat="1" applyFont="1" applyFill="1" applyBorder="1" applyAlignment="1">
      <alignment horizontal="left" vertical="top"/>
    </xf>
    <xf numFmtId="0" fontId="19" fillId="0" borderId="2" xfId="145" applyFont="1" applyFill="1" applyBorder="1" applyAlignment="1">
      <alignment horizontal="left" vertical="top"/>
    </xf>
    <xf numFmtId="0" fontId="19" fillId="0" borderId="2" xfId="0" applyFont="1" applyFill="1" applyBorder="1" applyAlignment="1">
      <alignment horizontal="right" vertical="top"/>
    </xf>
    <xf numFmtId="2" fontId="21" fillId="0" borderId="2" xfId="0" applyNumberFormat="1" applyFont="1" applyFill="1" applyBorder="1" applyAlignment="1">
      <alignment horizontal="right"/>
    </xf>
    <xf numFmtId="2" fontId="19" fillId="0" borderId="2" xfId="145" applyNumberFormat="1" applyFont="1" applyFill="1" applyBorder="1" applyAlignment="1">
      <alignment horizontal="left" vertical="top"/>
    </xf>
    <xf numFmtId="0" fontId="19" fillId="0" borderId="3" xfId="0" applyNumberFormat="1" applyFont="1" applyFill="1" applyBorder="1" applyAlignment="1">
      <alignment horizontal="left" vertical="top"/>
    </xf>
    <xf numFmtId="0" fontId="20" fillId="0" borderId="3" xfId="0" applyFont="1" applyFill="1" applyBorder="1" applyAlignment="1">
      <alignment horizontal="right" vertical="top"/>
    </xf>
    <xf numFmtId="0" fontId="19" fillId="0" borderId="6" xfId="0" applyFont="1" applyFill="1" applyBorder="1" applyAlignment="1">
      <alignment horizontal="left" vertical="top"/>
    </xf>
    <xf numFmtId="0" fontId="20" fillId="0" borderId="6" xfId="0" applyFont="1" applyFill="1" applyBorder="1" applyAlignment="1">
      <alignment vertical="top" wrapText="1"/>
    </xf>
    <xf numFmtId="0" fontId="20" fillId="0" borderId="3" xfId="0" applyFont="1" applyFill="1" applyBorder="1" applyAlignment="1">
      <alignment vertical="top"/>
    </xf>
    <xf numFmtId="0" fontId="19" fillId="0" borderId="6" xfId="0" applyFont="1" applyFill="1" applyBorder="1" applyAlignment="1">
      <alignment horizontal="right" vertical="top"/>
    </xf>
    <xf numFmtId="0" fontId="19" fillId="0" borderId="6" xfId="0" applyFont="1" applyFill="1" applyBorder="1" applyAlignment="1">
      <alignment vertical="top"/>
    </xf>
    <xf numFmtId="49" fontId="19" fillId="0" borderId="6" xfId="0" applyNumberFormat="1" applyFont="1" applyFill="1" applyBorder="1" applyAlignment="1">
      <alignment horizontal="right" vertical="top"/>
    </xf>
    <xf numFmtId="2" fontId="19" fillId="0" borderId="6" xfId="0" applyNumberFormat="1" applyFont="1" applyFill="1" applyBorder="1" applyAlignment="1">
      <alignment horizontal="left" vertical="top"/>
    </xf>
    <xf numFmtId="2" fontId="20" fillId="0" borderId="6" xfId="0" applyNumberFormat="1" applyFont="1" applyFill="1" applyBorder="1" applyAlignment="1">
      <alignment horizontal="right" vertical="top"/>
    </xf>
    <xf numFmtId="0" fontId="20" fillId="0" borderId="6" xfId="0" applyFont="1" applyFill="1" applyBorder="1" applyAlignment="1">
      <alignment horizontal="left" vertical="top"/>
    </xf>
    <xf numFmtId="2" fontId="19" fillId="0" borderId="6" xfId="0" applyNumberFormat="1" applyFont="1" applyFill="1" applyBorder="1" applyAlignment="1">
      <alignment vertical="top"/>
    </xf>
    <xf numFmtId="49" fontId="19" fillId="0" borderId="6" xfId="0" applyNumberFormat="1" applyFont="1" applyFill="1" applyBorder="1" applyAlignment="1">
      <alignment horizontal="left" vertical="top"/>
    </xf>
    <xf numFmtId="2" fontId="19" fillId="0" borderId="6" xfId="0" applyNumberFormat="1" applyFont="1" applyFill="1" applyBorder="1" applyAlignment="1">
      <alignment horizontal="right" vertical="top"/>
    </xf>
    <xf numFmtId="0" fontId="20" fillId="0" borderId="6" xfId="0" applyFont="1" applyFill="1" applyBorder="1" applyAlignment="1">
      <alignment vertical="top"/>
    </xf>
    <xf numFmtId="0" fontId="20" fillId="0" borderId="0" xfId="145" applyNumberFormat="1" applyFont="1" applyFill="1" applyBorder="1" applyAlignment="1">
      <alignment vertical="top"/>
    </xf>
    <xf numFmtId="0" fontId="19" fillId="0" borderId="0" xfId="145" applyNumberFormat="1" applyFont="1" applyFill="1" applyBorder="1" applyAlignment="1">
      <alignment vertical="top"/>
    </xf>
    <xf numFmtId="0" fontId="19" fillId="0" borderId="10" xfId="145" applyNumberFormat="1" applyFont="1" applyFill="1" applyBorder="1" applyAlignment="1">
      <alignment vertical="top" wrapText="1"/>
    </xf>
    <xf numFmtId="0" fontId="21" fillId="0" borderId="3" xfId="0" applyFont="1" applyFill="1" applyBorder="1"/>
    <xf numFmtId="49" fontId="19" fillId="0" borderId="2" xfId="0" applyNumberFormat="1" applyFont="1" applyFill="1" applyBorder="1" applyAlignment="1">
      <alignment vertical="top"/>
    </xf>
    <xf numFmtId="0" fontId="19" fillId="0" borderId="10" xfId="145" applyNumberFormat="1" applyFont="1" applyFill="1" applyBorder="1" applyAlignment="1">
      <alignment vertical="top"/>
    </xf>
    <xf numFmtId="0" fontId="19" fillId="0" borderId="10" xfId="145" applyNumberFormat="1" applyFont="1" applyFill="1" applyBorder="1" applyAlignment="1">
      <alignment horizontal="right" vertical="top"/>
    </xf>
    <xf numFmtId="0" fontId="20" fillId="0" borderId="0" xfId="145" applyNumberFormat="1" applyFont="1" applyFill="1" applyBorder="1" applyAlignment="1">
      <alignment horizontal="right" vertical="top"/>
    </xf>
    <xf numFmtId="0" fontId="19" fillId="0" borderId="0" xfId="0" applyFont="1" applyFill="1" applyBorder="1" applyAlignment="1">
      <alignment vertical="top"/>
    </xf>
    <xf numFmtId="0" fontId="19" fillId="0" borderId="9" xfId="0" applyFont="1" applyFill="1" applyBorder="1" applyAlignment="1">
      <alignment vertical="top"/>
    </xf>
    <xf numFmtId="0" fontId="19" fillId="0" borderId="9" xfId="0" applyFont="1" applyFill="1" applyBorder="1" applyAlignment="1">
      <alignment horizontal="left" vertical="top"/>
    </xf>
    <xf numFmtId="49" fontId="19" fillId="0" borderId="9" xfId="0" applyNumberFormat="1" applyFont="1" applyFill="1" applyBorder="1" applyAlignment="1">
      <alignment vertical="top"/>
    </xf>
    <xf numFmtId="0" fontId="20" fillId="0" borderId="0" xfId="145" applyNumberFormat="1" applyFont="1" applyFill="1" applyBorder="1" applyAlignment="1">
      <alignment horizontal="left" vertical="top"/>
    </xf>
    <xf numFmtId="0" fontId="19" fillId="0" borderId="5" xfId="0" applyFont="1" applyFill="1" applyBorder="1" applyAlignment="1">
      <alignment vertical="top"/>
    </xf>
    <xf numFmtId="0" fontId="19" fillId="0" borderId="5" xfId="0" applyFont="1" applyFill="1" applyBorder="1" applyAlignment="1">
      <alignment horizontal="left" vertical="top"/>
    </xf>
    <xf numFmtId="49" fontId="19" fillId="0" borderId="5" xfId="0" applyNumberFormat="1" applyFont="1" applyFill="1" applyBorder="1" applyAlignment="1">
      <alignment vertical="top"/>
    </xf>
    <xf numFmtId="0" fontId="20" fillId="0" borderId="5" xfId="0" applyNumberFormat="1" applyFont="1" applyFill="1" applyBorder="1" applyAlignment="1">
      <alignment vertical="top"/>
    </xf>
    <xf numFmtId="0" fontId="19" fillId="0" borderId="5" xfId="145" applyNumberFormat="1" applyFont="1" applyFill="1" applyBorder="1" applyAlignment="1">
      <alignment vertical="top"/>
    </xf>
    <xf numFmtId="0" fontId="19" fillId="0" borderId="5" xfId="0" applyNumberFormat="1" applyFont="1" applyFill="1" applyBorder="1" applyAlignment="1">
      <alignment vertical="top"/>
    </xf>
    <xf numFmtId="0" fontId="19" fillId="0" borderId="5" xfId="0" applyNumberFormat="1" applyFont="1" applyFill="1" applyBorder="1" applyAlignment="1">
      <alignment horizontal="left" vertical="top"/>
    </xf>
    <xf numFmtId="0" fontId="21" fillId="0" borderId="0" xfId="0" applyFont="1" applyFill="1" applyAlignment="1"/>
    <xf numFmtId="0" fontId="19" fillId="0" borderId="0" xfId="0" applyNumberFormat="1" applyFont="1" applyFill="1" applyBorder="1" applyAlignment="1">
      <alignment vertical="top"/>
    </xf>
    <xf numFmtId="0" fontId="19" fillId="0" borderId="3" xfId="145" applyNumberFormat="1" applyFont="1" applyFill="1" applyBorder="1" applyAlignment="1">
      <alignment horizontal="right" vertical="top"/>
    </xf>
    <xf numFmtId="49" fontId="19" fillId="0" borderId="5" xfId="0" applyNumberFormat="1" applyFont="1" applyFill="1" applyBorder="1" applyAlignment="1">
      <alignment horizontal="left" vertical="top"/>
    </xf>
    <xf numFmtId="0" fontId="20" fillId="0" borderId="0" xfId="0" applyNumberFormat="1" applyFont="1" applyFill="1" applyBorder="1" applyAlignment="1">
      <alignment horizontal="left" vertical="top"/>
    </xf>
    <xf numFmtId="0" fontId="20" fillId="0" borderId="10" xfId="145" applyNumberFormat="1" applyFont="1" applyFill="1" applyBorder="1" applyAlignment="1">
      <alignment horizontal="left" vertical="top"/>
    </xf>
    <xf numFmtId="0" fontId="19" fillId="0" borderId="10" xfId="145" applyNumberFormat="1" applyFont="1" applyFill="1" applyBorder="1" applyAlignment="1">
      <alignment horizontal="left" vertical="top"/>
    </xf>
    <xf numFmtId="0" fontId="19" fillId="0" borderId="5" xfId="145" applyNumberFormat="1" applyFont="1" applyFill="1" applyBorder="1" applyAlignment="1">
      <alignment horizontal="left" vertical="top"/>
    </xf>
    <xf numFmtId="0" fontId="20" fillId="0" borderId="0" xfId="145" applyNumberFormat="1" applyFont="1" applyFill="1" applyBorder="1" applyAlignment="1">
      <alignment vertical="top" wrapText="1"/>
    </xf>
    <xf numFmtId="0" fontId="19" fillId="0" borderId="7" xfId="145" applyNumberFormat="1" applyFont="1" applyFill="1" applyBorder="1" applyAlignment="1">
      <alignment horizontal="left" vertical="top"/>
    </xf>
    <xf numFmtId="49" fontId="19" fillId="0" borderId="2" xfId="145" applyNumberFormat="1" applyFont="1" applyFill="1" applyBorder="1" applyAlignment="1">
      <alignment vertical="top"/>
    </xf>
    <xf numFmtId="0" fontId="19" fillId="0" borderId="3" xfId="0" applyFont="1" applyFill="1" applyBorder="1" applyAlignment="1">
      <alignment horizontal="left" vertical="top"/>
    </xf>
    <xf numFmtId="0" fontId="19" fillId="0" borderId="8" xfId="0" applyFont="1" applyFill="1" applyBorder="1" applyAlignment="1">
      <alignment horizontal="left" vertical="top"/>
    </xf>
    <xf numFmtId="0" fontId="19" fillId="0" borderId="7" xfId="0" applyFont="1" applyFill="1" applyBorder="1" applyAlignment="1">
      <alignment horizontal="left" vertical="top"/>
    </xf>
    <xf numFmtId="49" fontId="19" fillId="0" borderId="3" xfId="145" applyNumberFormat="1" applyFont="1" applyFill="1" applyBorder="1" applyAlignment="1">
      <alignment horizontal="left" vertical="top"/>
    </xf>
    <xf numFmtId="49" fontId="19" fillId="0" borderId="7" xfId="145" applyNumberFormat="1" applyFont="1" applyFill="1" applyBorder="1" applyAlignment="1">
      <alignment horizontal="left" vertical="top"/>
    </xf>
    <xf numFmtId="0" fontId="19" fillId="0" borderId="4" xfId="0" applyFont="1" applyFill="1" applyBorder="1" applyAlignment="1">
      <alignment vertical="top"/>
    </xf>
    <xf numFmtId="0" fontId="21" fillId="0" borderId="2" xfId="0" applyFont="1" applyFill="1" applyBorder="1" applyAlignment="1">
      <alignment horizontal="left"/>
    </xf>
    <xf numFmtId="0" fontId="19" fillId="0" borderId="7" xfId="145" applyNumberFormat="1" applyFont="1" applyFill="1" applyBorder="1" applyAlignment="1">
      <alignment vertical="top"/>
    </xf>
    <xf numFmtId="0" fontId="20" fillId="0" borderId="3" xfId="145" applyNumberFormat="1" applyFont="1" applyFill="1" applyBorder="1" applyAlignment="1">
      <alignment horizontal="left" vertical="top"/>
    </xf>
    <xf numFmtId="0" fontId="19" fillId="0" borderId="6" xfId="145" applyNumberFormat="1" applyFont="1" applyFill="1" applyBorder="1" applyAlignment="1">
      <alignment horizontal="left" vertical="top"/>
    </xf>
    <xf numFmtId="0" fontId="19" fillId="0" borderId="7" xfId="145" applyNumberFormat="1" applyFont="1" applyFill="1" applyBorder="1" applyAlignment="1">
      <alignment horizontal="right" vertical="top"/>
    </xf>
    <xf numFmtId="0" fontId="19" fillId="0" borderId="2" xfId="0" applyFont="1" applyFill="1" applyBorder="1" applyAlignment="1">
      <alignment vertical="top" wrapText="1"/>
    </xf>
    <xf numFmtId="0" fontId="19" fillId="0" borderId="0" xfId="145" applyNumberFormat="1" applyFont="1" applyFill="1" applyBorder="1" applyAlignment="1">
      <alignment vertical="top" wrapText="1"/>
    </xf>
    <xf numFmtId="0" fontId="19" fillId="0" borderId="0" xfId="0" applyFont="1" applyFill="1" applyBorder="1" applyAlignment="1">
      <alignment vertical="top" wrapText="1"/>
    </xf>
    <xf numFmtId="0" fontId="20" fillId="0" borderId="2" xfId="0" applyFont="1" applyFill="1" applyBorder="1" applyAlignment="1">
      <alignment vertical="top"/>
    </xf>
    <xf numFmtId="0" fontId="19" fillId="0" borderId="12" xfId="0" applyNumberFormat="1" applyFont="1" applyFill="1" applyBorder="1" applyAlignment="1">
      <alignment horizontal="left" vertical="top"/>
    </xf>
    <xf numFmtId="0" fontId="19" fillId="0" borderId="6" xfId="145" applyNumberFormat="1" applyFont="1" applyFill="1" applyBorder="1" applyAlignment="1">
      <alignment horizontal="right" vertical="top"/>
    </xf>
    <xf numFmtId="0" fontId="19" fillId="0" borderId="6" xfId="145" applyNumberFormat="1" applyFont="1" applyFill="1" applyBorder="1" applyAlignment="1">
      <alignment vertical="top"/>
    </xf>
    <xf numFmtId="0" fontId="19" fillId="0" borderId="8" xfId="145" applyNumberFormat="1" applyFont="1" applyFill="1" applyBorder="1" applyAlignment="1">
      <alignment horizontal="right" vertical="top"/>
    </xf>
    <xf numFmtId="0" fontId="19" fillId="0" borderId="8" xfId="145" applyNumberFormat="1" applyFont="1" applyFill="1" applyBorder="1" applyAlignment="1">
      <alignment vertical="top"/>
    </xf>
    <xf numFmtId="0" fontId="24" fillId="0" borderId="5" xfId="0" applyNumberFormat="1" applyFont="1" applyFill="1" applyBorder="1" applyAlignment="1">
      <alignment horizontal="left" vertical="top"/>
    </xf>
    <xf numFmtId="49" fontId="19" fillId="0" borderId="0" xfId="0" applyNumberFormat="1" applyFont="1" applyFill="1" applyBorder="1" applyAlignment="1">
      <alignment horizontal="left" vertical="top"/>
    </xf>
    <xf numFmtId="0" fontId="19" fillId="0" borderId="11" xfId="145" applyNumberFormat="1" applyFont="1" applyFill="1" applyBorder="1" applyAlignment="1">
      <alignment vertical="top"/>
    </xf>
    <xf numFmtId="0" fontId="19" fillId="0" borderId="2" xfId="145" applyFont="1" applyFill="1" applyBorder="1" applyAlignment="1">
      <alignment horizontal="right" vertical="top"/>
    </xf>
    <xf numFmtId="0" fontId="19" fillId="0" borderId="0" xfId="0" applyFont="1" applyFill="1" applyAlignment="1">
      <alignment horizontal="right"/>
    </xf>
    <xf numFmtId="0" fontId="19" fillId="0" borderId="10" xfId="0" applyFont="1" applyFill="1" applyBorder="1" applyAlignment="1">
      <alignment horizontal="left"/>
    </xf>
    <xf numFmtId="0" fontId="19" fillId="0" borderId="11" xfId="145" applyNumberFormat="1" applyFont="1" applyFill="1" applyBorder="1" applyAlignment="1">
      <alignment horizontal="left" vertical="top"/>
    </xf>
    <xf numFmtId="0" fontId="21" fillId="0" borderId="2" xfId="0" applyFont="1" applyFill="1" applyBorder="1" applyAlignment="1">
      <alignment horizontal="left" vertical="top"/>
    </xf>
    <xf numFmtId="0" fontId="19" fillId="0" borderId="13" xfId="0" applyFont="1" applyFill="1" applyBorder="1" applyAlignment="1">
      <alignment horizontal="left" vertical="top"/>
    </xf>
    <xf numFmtId="2" fontId="20" fillId="0" borderId="2" xfId="145" applyNumberFormat="1" applyFont="1" applyFill="1" applyBorder="1" applyAlignment="1">
      <alignment vertical="top"/>
    </xf>
    <xf numFmtId="2" fontId="21" fillId="0" borderId="0" xfId="0" applyNumberFormat="1" applyFont="1" applyFill="1" applyAlignment="1">
      <alignment horizontal="right"/>
    </xf>
    <xf numFmtId="0" fontId="21" fillId="0" borderId="0" xfId="0" applyFont="1" applyFill="1" applyAlignment="1">
      <alignment horizontal="right"/>
    </xf>
    <xf numFmtId="0" fontId="19" fillId="0" borderId="8" xfId="145" applyNumberFormat="1" applyFont="1" applyFill="1" applyBorder="1" applyAlignment="1">
      <alignment horizontal="left" vertical="top"/>
    </xf>
    <xf numFmtId="0" fontId="24" fillId="0" borderId="0" xfId="0" applyNumberFormat="1" applyFont="1" applyFill="1" applyBorder="1" applyAlignment="1">
      <alignment horizontal="left" vertical="top"/>
    </xf>
    <xf numFmtId="0" fontId="20" fillId="0" borderId="2" xfId="0" applyFont="1" applyFill="1" applyBorder="1" applyAlignment="1">
      <alignment horizontal="left" vertical="top"/>
    </xf>
  </cellXfs>
  <cellStyles count="7264">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3" builtinId="9" hidden="1"/>
    <cellStyle name="Followed Hyperlink" xfId="1165" builtinId="9" hidden="1"/>
    <cellStyle name="Followed Hyperlink" xfId="1167" builtinId="9" hidden="1"/>
    <cellStyle name="Followed Hyperlink" xfId="1169" builtinId="9" hidden="1"/>
    <cellStyle name="Followed Hyperlink" xfId="1171" builtinId="9" hidden="1"/>
    <cellStyle name="Followed Hyperlink" xfId="1173" builtinId="9" hidden="1"/>
    <cellStyle name="Followed Hyperlink" xfId="1175" builtinId="9" hidden="1"/>
    <cellStyle name="Followed Hyperlink" xfId="1177" builtinId="9" hidden="1"/>
    <cellStyle name="Followed Hyperlink" xfId="1179" builtinId="9" hidden="1"/>
    <cellStyle name="Followed Hyperlink" xfId="1181" builtinId="9" hidden="1"/>
    <cellStyle name="Followed Hyperlink" xfId="1183" builtinId="9" hidden="1"/>
    <cellStyle name="Followed Hyperlink" xfId="1185" builtinId="9" hidden="1"/>
    <cellStyle name="Followed Hyperlink" xfId="1187" builtinId="9" hidden="1"/>
    <cellStyle name="Followed Hyperlink" xfId="1189" builtinId="9" hidden="1"/>
    <cellStyle name="Followed Hyperlink" xfId="1191" builtinId="9" hidden="1"/>
    <cellStyle name="Followed Hyperlink" xfId="1193" builtinId="9" hidden="1"/>
    <cellStyle name="Followed Hyperlink" xfId="1195" builtinId="9" hidden="1"/>
    <cellStyle name="Followed Hyperlink" xfId="1197" builtinId="9" hidden="1"/>
    <cellStyle name="Followed Hyperlink" xfId="1199" builtinId="9" hidden="1"/>
    <cellStyle name="Followed Hyperlink" xfId="1201" builtinId="9" hidden="1"/>
    <cellStyle name="Followed Hyperlink" xfId="1203" builtinId="9" hidden="1"/>
    <cellStyle name="Followed Hyperlink" xfId="1205" builtinId="9" hidden="1"/>
    <cellStyle name="Followed Hyperlink" xfId="1207" builtinId="9" hidden="1"/>
    <cellStyle name="Followed Hyperlink" xfId="1209" builtinId="9" hidden="1"/>
    <cellStyle name="Followed Hyperlink" xfId="1211" builtinId="9" hidden="1"/>
    <cellStyle name="Followed Hyperlink" xfId="1213" builtinId="9" hidden="1"/>
    <cellStyle name="Followed Hyperlink" xfId="1215" builtinId="9" hidden="1"/>
    <cellStyle name="Followed Hyperlink" xfId="1217" builtinId="9" hidden="1"/>
    <cellStyle name="Followed Hyperlink" xfId="1219" builtinId="9" hidden="1"/>
    <cellStyle name="Followed Hyperlink" xfId="1221" builtinId="9" hidden="1"/>
    <cellStyle name="Followed Hyperlink" xfId="1223" builtinId="9" hidden="1"/>
    <cellStyle name="Followed Hyperlink" xfId="1225" builtinId="9" hidden="1"/>
    <cellStyle name="Followed Hyperlink" xfId="1227" builtinId="9" hidden="1"/>
    <cellStyle name="Followed Hyperlink" xfId="1229" builtinId="9" hidden="1"/>
    <cellStyle name="Followed Hyperlink" xfId="1231" builtinId="9" hidden="1"/>
    <cellStyle name="Followed Hyperlink" xfId="1233" builtinId="9" hidden="1"/>
    <cellStyle name="Followed Hyperlink" xfId="1235" builtinId="9" hidden="1"/>
    <cellStyle name="Followed Hyperlink" xfId="1237" builtinId="9" hidden="1"/>
    <cellStyle name="Followed Hyperlink" xfId="1239" builtinId="9" hidden="1"/>
    <cellStyle name="Followed Hyperlink" xfId="1241" builtinId="9" hidden="1"/>
    <cellStyle name="Followed Hyperlink" xfId="1243" builtinId="9" hidden="1"/>
    <cellStyle name="Followed Hyperlink" xfId="1245" builtinId="9" hidden="1"/>
    <cellStyle name="Followed Hyperlink" xfId="1247" builtinId="9" hidden="1"/>
    <cellStyle name="Followed Hyperlink" xfId="1249" builtinId="9" hidden="1"/>
    <cellStyle name="Followed Hyperlink" xfId="1251" builtinId="9" hidden="1"/>
    <cellStyle name="Followed Hyperlink" xfId="1253" builtinId="9" hidden="1"/>
    <cellStyle name="Followed Hyperlink" xfId="1255" builtinId="9" hidden="1"/>
    <cellStyle name="Followed Hyperlink" xfId="1257" builtinId="9" hidden="1"/>
    <cellStyle name="Followed Hyperlink" xfId="1259" builtinId="9" hidden="1"/>
    <cellStyle name="Followed Hyperlink" xfId="1261" builtinId="9" hidden="1"/>
    <cellStyle name="Followed Hyperlink" xfId="1263" builtinId="9" hidden="1"/>
    <cellStyle name="Followed Hyperlink" xfId="1265" builtinId="9" hidden="1"/>
    <cellStyle name="Followed Hyperlink" xfId="1267" builtinId="9" hidden="1"/>
    <cellStyle name="Followed Hyperlink" xfId="1269" builtinId="9" hidden="1"/>
    <cellStyle name="Followed Hyperlink" xfId="1271" builtinId="9" hidden="1"/>
    <cellStyle name="Followed Hyperlink" xfId="1273" builtinId="9" hidden="1"/>
    <cellStyle name="Followed Hyperlink" xfId="1275" builtinId="9" hidden="1"/>
    <cellStyle name="Followed Hyperlink" xfId="1277" builtinId="9" hidden="1"/>
    <cellStyle name="Followed Hyperlink" xfId="1279" builtinId="9" hidden="1"/>
    <cellStyle name="Followed Hyperlink" xfId="1281" builtinId="9" hidden="1"/>
    <cellStyle name="Followed Hyperlink" xfId="1283" builtinId="9" hidden="1"/>
    <cellStyle name="Followed Hyperlink" xfId="1285" builtinId="9" hidden="1"/>
    <cellStyle name="Followed Hyperlink" xfId="1287" builtinId="9" hidden="1"/>
    <cellStyle name="Followed Hyperlink" xfId="1289" builtinId="9" hidden="1"/>
    <cellStyle name="Followed Hyperlink" xfId="1291" builtinId="9" hidden="1"/>
    <cellStyle name="Followed Hyperlink" xfId="1293" builtinId="9" hidden="1"/>
    <cellStyle name="Followed Hyperlink" xfId="1295" builtinId="9" hidden="1"/>
    <cellStyle name="Followed Hyperlink" xfId="1297" builtinId="9" hidden="1"/>
    <cellStyle name="Followed Hyperlink" xfId="1299" builtinId="9" hidden="1"/>
    <cellStyle name="Followed Hyperlink" xfId="1301" builtinId="9" hidden="1"/>
    <cellStyle name="Followed Hyperlink" xfId="1303" builtinId="9" hidden="1"/>
    <cellStyle name="Followed Hyperlink" xfId="1305" builtinId="9" hidden="1"/>
    <cellStyle name="Followed Hyperlink" xfId="1307" builtinId="9" hidden="1"/>
    <cellStyle name="Followed Hyperlink" xfId="1309" builtinId="9" hidden="1"/>
    <cellStyle name="Followed Hyperlink" xfId="1311" builtinId="9" hidden="1"/>
    <cellStyle name="Followed Hyperlink" xfId="1313" builtinId="9" hidden="1"/>
    <cellStyle name="Followed Hyperlink" xfId="1315" builtinId="9" hidden="1"/>
    <cellStyle name="Followed Hyperlink" xfId="1317" builtinId="9" hidden="1"/>
    <cellStyle name="Followed Hyperlink" xfId="1319" builtinId="9" hidden="1"/>
    <cellStyle name="Followed Hyperlink" xfId="1321" builtinId="9" hidden="1"/>
    <cellStyle name="Followed Hyperlink" xfId="1323" builtinId="9" hidden="1"/>
    <cellStyle name="Followed Hyperlink" xfId="1325" builtinId="9" hidden="1"/>
    <cellStyle name="Followed Hyperlink" xfId="1327" builtinId="9" hidden="1"/>
    <cellStyle name="Followed Hyperlink" xfId="1329" builtinId="9" hidden="1"/>
    <cellStyle name="Followed Hyperlink" xfId="1331" builtinId="9" hidden="1"/>
    <cellStyle name="Followed Hyperlink" xfId="1333" builtinId="9" hidden="1"/>
    <cellStyle name="Followed Hyperlink" xfId="1335" builtinId="9" hidden="1"/>
    <cellStyle name="Followed Hyperlink" xfId="1337" builtinId="9" hidden="1"/>
    <cellStyle name="Followed Hyperlink" xfId="1339" builtinId="9" hidden="1"/>
    <cellStyle name="Followed Hyperlink" xfId="1341" builtinId="9" hidden="1"/>
    <cellStyle name="Followed Hyperlink" xfId="1343" builtinId="9" hidden="1"/>
    <cellStyle name="Followed Hyperlink" xfId="1345" builtinId="9" hidden="1"/>
    <cellStyle name="Followed Hyperlink" xfId="1347" builtinId="9" hidden="1"/>
    <cellStyle name="Followed Hyperlink" xfId="1349" builtinId="9" hidden="1"/>
    <cellStyle name="Followed Hyperlink" xfId="1351" builtinId="9" hidden="1"/>
    <cellStyle name="Followed Hyperlink" xfId="1353" builtinId="9" hidden="1"/>
    <cellStyle name="Followed Hyperlink" xfId="1355" builtinId="9" hidden="1"/>
    <cellStyle name="Followed Hyperlink" xfId="1357" builtinId="9" hidden="1"/>
    <cellStyle name="Followed Hyperlink" xfId="1359" builtinId="9" hidden="1"/>
    <cellStyle name="Followed Hyperlink" xfId="1361" builtinId="9" hidden="1"/>
    <cellStyle name="Followed Hyperlink" xfId="1363" builtinId="9" hidden="1"/>
    <cellStyle name="Followed Hyperlink" xfId="1365" builtinId="9" hidden="1"/>
    <cellStyle name="Followed Hyperlink" xfId="1367" builtinId="9" hidden="1"/>
    <cellStyle name="Followed Hyperlink" xfId="1369" builtinId="9" hidden="1"/>
    <cellStyle name="Followed Hyperlink" xfId="1371" builtinId="9" hidden="1"/>
    <cellStyle name="Followed Hyperlink" xfId="1373" builtinId="9" hidden="1"/>
    <cellStyle name="Followed Hyperlink" xfId="1375" builtinId="9" hidden="1"/>
    <cellStyle name="Followed Hyperlink" xfId="1377" builtinId="9" hidden="1"/>
    <cellStyle name="Followed Hyperlink" xfId="1379" builtinId="9" hidden="1"/>
    <cellStyle name="Followed Hyperlink" xfId="1381" builtinId="9" hidden="1"/>
    <cellStyle name="Followed Hyperlink" xfId="1383" builtinId="9" hidden="1"/>
    <cellStyle name="Followed Hyperlink" xfId="1385" builtinId="9" hidden="1"/>
    <cellStyle name="Followed Hyperlink" xfId="1387" builtinId="9" hidden="1"/>
    <cellStyle name="Followed Hyperlink" xfId="1389" builtinId="9" hidden="1"/>
    <cellStyle name="Followed Hyperlink" xfId="1391" builtinId="9" hidden="1"/>
    <cellStyle name="Followed Hyperlink" xfId="1393" builtinId="9" hidden="1"/>
    <cellStyle name="Followed Hyperlink" xfId="1395" builtinId="9" hidden="1"/>
    <cellStyle name="Followed Hyperlink" xfId="1397" builtinId="9" hidden="1"/>
    <cellStyle name="Followed Hyperlink" xfId="1399" builtinId="9" hidden="1"/>
    <cellStyle name="Followed Hyperlink" xfId="1401" builtinId="9" hidden="1"/>
    <cellStyle name="Followed Hyperlink" xfId="1403" builtinId="9" hidden="1"/>
    <cellStyle name="Followed Hyperlink" xfId="1405" builtinId="9" hidden="1"/>
    <cellStyle name="Followed Hyperlink" xfId="1407" builtinId="9" hidden="1"/>
    <cellStyle name="Followed Hyperlink" xfId="1409" builtinId="9" hidden="1"/>
    <cellStyle name="Followed Hyperlink" xfId="1411" builtinId="9" hidden="1"/>
    <cellStyle name="Followed Hyperlink" xfId="1413" builtinId="9" hidden="1"/>
    <cellStyle name="Followed Hyperlink" xfId="1415" builtinId="9" hidden="1"/>
    <cellStyle name="Followed Hyperlink" xfId="1417" builtinId="9" hidden="1"/>
    <cellStyle name="Followed Hyperlink" xfId="1419" builtinId="9" hidden="1"/>
    <cellStyle name="Followed Hyperlink" xfId="1421" builtinId="9" hidden="1"/>
    <cellStyle name="Followed Hyperlink" xfId="1423" builtinId="9" hidden="1"/>
    <cellStyle name="Followed Hyperlink" xfId="1425" builtinId="9" hidden="1"/>
    <cellStyle name="Followed Hyperlink" xfId="1427" builtinId="9" hidden="1"/>
    <cellStyle name="Followed Hyperlink" xfId="1429" builtinId="9" hidden="1"/>
    <cellStyle name="Followed Hyperlink" xfId="1431" builtinId="9" hidden="1"/>
    <cellStyle name="Followed Hyperlink" xfId="1433" builtinId="9" hidden="1"/>
    <cellStyle name="Followed Hyperlink" xfId="1435" builtinId="9" hidden="1"/>
    <cellStyle name="Followed Hyperlink" xfId="1437" builtinId="9" hidden="1"/>
    <cellStyle name="Followed Hyperlink" xfId="1439" builtinId="9" hidden="1"/>
    <cellStyle name="Followed Hyperlink" xfId="1441" builtinId="9" hidden="1"/>
    <cellStyle name="Followed Hyperlink" xfId="1443" builtinId="9" hidden="1"/>
    <cellStyle name="Followed Hyperlink" xfId="1445" builtinId="9" hidden="1"/>
    <cellStyle name="Followed Hyperlink" xfId="1447" builtinId="9" hidden="1"/>
    <cellStyle name="Followed Hyperlink" xfId="1449" builtinId="9" hidden="1"/>
    <cellStyle name="Followed Hyperlink" xfId="1451" builtinId="9" hidden="1"/>
    <cellStyle name="Followed Hyperlink" xfId="1453" builtinId="9" hidden="1"/>
    <cellStyle name="Followed Hyperlink" xfId="1455" builtinId="9" hidden="1"/>
    <cellStyle name="Followed Hyperlink" xfId="1457" builtinId="9" hidden="1"/>
    <cellStyle name="Followed Hyperlink" xfId="1459" builtinId="9" hidden="1"/>
    <cellStyle name="Followed Hyperlink" xfId="1461" builtinId="9" hidden="1"/>
    <cellStyle name="Followed Hyperlink" xfId="1463" builtinId="9" hidden="1"/>
    <cellStyle name="Followed Hyperlink" xfId="1465" builtinId="9" hidden="1"/>
    <cellStyle name="Followed Hyperlink" xfId="1467" builtinId="9" hidden="1"/>
    <cellStyle name="Followed Hyperlink" xfId="1469" builtinId="9" hidden="1"/>
    <cellStyle name="Followed Hyperlink" xfId="1471" builtinId="9" hidden="1"/>
    <cellStyle name="Followed Hyperlink" xfId="1473" builtinId="9" hidden="1"/>
    <cellStyle name="Followed Hyperlink" xfId="1475" builtinId="9" hidden="1"/>
    <cellStyle name="Followed Hyperlink" xfId="1477" builtinId="9" hidden="1"/>
    <cellStyle name="Followed Hyperlink" xfId="1479" builtinId="9" hidden="1"/>
    <cellStyle name="Followed Hyperlink" xfId="1481" builtinId="9" hidden="1"/>
    <cellStyle name="Followed Hyperlink" xfId="1483" builtinId="9" hidden="1"/>
    <cellStyle name="Followed Hyperlink" xfId="1485" builtinId="9" hidden="1"/>
    <cellStyle name="Followed Hyperlink" xfId="1487" builtinId="9" hidden="1"/>
    <cellStyle name="Followed Hyperlink" xfId="1489" builtinId="9" hidden="1"/>
    <cellStyle name="Followed Hyperlink" xfId="1491" builtinId="9" hidden="1"/>
    <cellStyle name="Followed Hyperlink" xfId="1493" builtinId="9" hidden="1"/>
    <cellStyle name="Followed Hyperlink" xfId="1495" builtinId="9" hidden="1"/>
    <cellStyle name="Followed Hyperlink" xfId="1497" builtinId="9" hidden="1"/>
    <cellStyle name="Followed Hyperlink" xfId="1499" builtinId="9" hidden="1"/>
    <cellStyle name="Followed Hyperlink" xfId="1501" builtinId="9" hidden="1"/>
    <cellStyle name="Followed Hyperlink" xfId="1503" builtinId="9" hidden="1"/>
    <cellStyle name="Followed Hyperlink" xfId="1505" builtinId="9" hidden="1"/>
    <cellStyle name="Followed Hyperlink" xfId="1507" builtinId="9" hidden="1"/>
    <cellStyle name="Followed Hyperlink" xfId="1509" builtinId="9" hidden="1"/>
    <cellStyle name="Followed Hyperlink" xfId="1511" builtinId="9" hidden="1"/>
    <cellStyle name="Followed Hyperlink" xfId="1513" builtinId="9" hidden="1"/>
    <cellStyle name="Followed Hyperlink" xfId="1515" builtinId="9" hidden="1"/>
    <cellStyle name="Followed Hyperlink" xfId="1517" builtinId="9" hidden="1"/>
    <cellStyle name="Followed Hyperlink" xfId="1519" builtinId="9" hidden="1"/>
    <cellStyle name="Followed Hyperlink" xfId="1521" builtinId="9" hidden="1"/>
    <cellStyle name="Followed Hyperlink" xfId="1523" builtinId="9" hidden="1"/>
    <cellStyle name="Followed Hyperlink" xfId="1525" builtinId="9" hidden="1"/>
    <cellStyle name="Followed Hyperlink" xfId="1527" builtinId="9" hidden="1"/>
    <cellStyle name="Followed Hyperlink" xfId="1529" builtinId="9" hidden="1"/>
    <cellStyle name="Followed Hyperlink" xfId="1531" builtinId="9" hidden="1"/>
    <cellStyle name="Followed Hyperlink" xfId="1533" builtinId="9" hidden="1"/>
    <cellStyle name="Followed Hyperlink" xfId="1535" builtinId="9" hidden="1"/>
    <cellStyle name="Followed Hyperlink" xfId="1537" builtinId="9" hidden="1"/>
    <cellStyle name="Followed Hyperlink" xfId="1539" builtinId="9" hidden="1"/>
    <cellStyle name="Followed Hyperlink" xfId="1541" builtinId="9" hidden="1"/>
    <cellStyle name="Followed Hyperlink" xfId="1543" builtinId="9" hidden="1"/>
    <cellStyle name="Followed Hyperlink" xfId="1545" builtinId="9" hidden="1"/>
    <cellStyle name="Followed Hyperlink" xfId="1547" builtinId="9" hidden="1"/>
    <cellStyle name="Followed Hyperlink" xfId="1549" builtinId="9" hidden="1"/>
    <cellStyle name="Followed Hyperlink" xfId="1551" builtinId="9" hidden="1"/>
    <cellStyle name="Followed Hyperlink" xfId="1553" builtinId="9" hidden="1"/>
    <cellStyle name="Followed Hyperlink" xfId="1555" builtinId="9" hidden="1"/>
    <cellStyle name="Followed Hyperlink" xfId="1557" builtinId="9" hidden="1"/>
    <cellStyle name="Followed Hyperlink" xfId="1559" builtinId="9" hidden="1"/>
    <cellStyle name="Followed Hyperlink" xfId="1561" builtinId="9" hidden="1"/>
    <cellStyle name="Followed Hyperlink" xfId="1563" builtinId="9" hidden="1"/>
    <cellStyle name="Followed Hyperlink" xfId="1565" builtinId="9" hidden="1"/>
    <cellStyle name="Followed Hyperlink" xfId="1567" builtinId="9" hidden="1"/>
    <cellStyle name="Followed Hyperlink" xfId="1569" builtinId="9" hidden="1"/>
    <cellStyle name="Followed Hyperlink" xfId="1571" builtinId="9" hidden="1"/>
    <cellStyle name="Followed Hyperlink" xfId="1573" builtinId="9" hidden="1"/>
    <cellStyle name="Followed Hyperlink" xfId="1575" builtinId="9" hidden="1"/>
    <cellStyle name="Followed Hyperlink" xfId="1577" builtinId="9" hidden="1"/>
    <cellStyle name="Followed Hyperlink" xfId="1579" builtinId="9" hidden="1"/>
    <cellStyle name="Followed Hyperlink" xfId="1581" builtinId="9" hidden="1"/>
    <cellStyle name="Followed Hyperlink" xfId="1583" builtinId="9" hidden="1"/>
    <cellStyle name="Followed Hyperlink" xfId="1585" builtinId="9" hidden="1"/>
    <cellStyle name="Followed Hyperlink" xfId="1587" builtinId="9" hidden="1"/>
    <cellStyle name="Followed Hyperlink" xfId="1589" builtinId="9" hidden="1"/>
    <cellStyle name="Followed Hyperlink" xfId="1591" builtinId="9" hidden="1"/>
    <cellStyle name="Followed Hyperlink" xfId="1593" builtinId="9" hidden="1"/>
    <cellStyle name="Followed Hyperlink" xfId="1595" builtinId="9" hidden="1"/>
    <cellStyle name="Followed Hyperlink" xfId="1597" builtinId="9" hidden="1"/>
    <cellStyle name="Followed Hyperlink" xfId="1599" builtinId="9" hidden="1"/>
    <cellStyle name="Followed Hyperlink" xfId="1601" builtinId="9" hidden="1"/>
    <cellStyle name="Followed Hyperlink" xfId="1603" builtinId="9" hidden="1"/>
    <cellStyle name="Followed Hyperlink" xfId="1605" builtinId="9" hidden="1"/>
    <cellStyle name="Followed Hyperlink" xfId="1607" builtinId="9" hidden="1"/>
    <cellStyle name="Followed Hyperlink" xfId="1609" builtinId="9" hidden="1"/>
    <cellStyle name="Followed Hyperlink" xfId="1611" builtinId="9" hidden="1"/>
    <cellStyle name="Followed Hyperlink" xfId="1613" builtinId="9" hidden="1"/>
    <cellStyle name="Followed Hyperlink" xfId="1615" builtinId="9" hidden="1"/>
    <cellStyle name="Followed Hyperlink" xfId="1617" builtinId="9" hidden="1"/>
    <cellStyle name="Followed Hyperlink" xfId="1619" builtinId="9" hidden="1"/>
    <cellStyle name="Followed Hyperlink" xfId="1621" builtinId="9" hidden="1"/>
    <cellStyle name="Followed Hyperlink" xfId="1623" builtinId="9" hidden="1"/>
    <cellStyle name="Followed Hyperlink" xfId="1625" builtinId="9" hidden="1"/>
    <cellStyle name="Followed Hyperlink" xfId="1627" builtinId="9" hidden="1"/>
    <cellStyle name="Followed Hyperlink" xfId="1629" builtinId="9" hidden="1"/>
    <cellStyle name="Followed Hyperlink" xfId="1631" builtinId="9" hidden="1"/>
    <cellStyle name="Followed Hyperlink" xfId="1633" builtinId="9" hidden="1"/>
    <cellStyle name="Followed Hyperlink" xfId="1635" builtinId="9" hidden="1"/>
    <cellStyle name="Followed Hyperlink" xfId="1637" builtinId="9" hidden="1"/>
    <cellStyle name="Followed Hyperlink" xfId="1639" builtinId="9" hidden="1"/>
    <cellStyle name="Followed Hyperlink" xfId="1641" builtinId="9" hidden="1"/>
    <cellStyle name="Followed Hyperlink" xfId="1643" builtinId="9" hidden="1"/>
    <cellStyle name="Followed Hyperlink" xfId="1645" builtinId="9" hidden="1"/>
    <cellStyle name="Followed Hyperlink" xfId="1647" builtinId="9" hidden="1"/>
    <cellStyle name="Followed Hyperlink" xfId="1649" builtinId="9" hidden="1"/>
    <cellStyle name="Followed Hyperlink" xfId="1651" builtinId="9" hidden="1"/>
    <cellStyle name="Followed Hyperlink" xfId="1653" builtinId="9" hidden="1"/>
    <cellStyle name="Followed Hyperlink" xfId="1655" builtinId="9" hidden="1"/>
    <cellStyle name="Followed Hyperlink" xfId="1657" builtinId="9" hidden="1"/>
    <cellStyle name="Followed Hyperlink" xfId="1659" builtinId="9" hidden="1"/>
    <cellStyle name="Followed Hyperlink" xfId="1661" builtinId="9" hidden="1"/>
    <cellStyle name="Followed Hyperlink" xfId="1663" builtinId="9" hidden="1"/>
    <cellStyle name="Followed Hyperlink" xfId="1665" builtinId="9" hidden="1"/>
    <cellStyle name="Followed Hyperlink" xfId="1667" builtinId="9" hidden="1"/>
    <cellStyle name="Followed Hyperlink" xfId="1669" builtinId="9" hidden="1"/>
    <cellStyle name="Followed Hyperlink" xfId="1671" builtinId="9" hidden="1"/>
    <cellStyle name="Followed Hyperlink" xfId="1673" builtinId="9" hidden="1"/>
    <cellStyle name="Followed Hyperlink" xfId="1675" builtinId="9" hidden="1"/>
    <cellStyle name="Followed Hyperlink" xfId="1677" builtinId="9" hidden="1"/>
    <cellStyle name="Followed Hyperlink" xfId="1679" builtinId="9" hidden="1"/>
    <cellStyle name="Followed Hyperlink" xfId="1681" builtinId="9" hidden="1"/>
    <cellStyle name="Followed Hyperlink" xfId="1683" builtinId="9" hidden="1"/>
    <cellStyle name="Followed Hyperlink" xfId="1685" builtinId="9" hidden="1"/>
    <cellStyle name="Followed Hyperlink" xfId="1687" builtinId="9" hidden="1"/>
    <cellStyle name="Followed Hyperlink" xfId="1689" builtinId="9" hidden="1"/>
    <cellStyle name="Followed Hyperlink" xfId="1691" builtinId="9" hidden="1"/>
    <cellStyle name="Followed Hyperlink" xfId="1693" builtinId="9" hidden="1"/>
    <cellStyle name="Followed Hyperlink" xfId="1695" builtinId="9" hidden="1"/>
    <cellStyle name="Followed Hyperlink" xfId="1697" builtinId="9" hidden="1"/>
    <cellStyle name="Followed Hyperlink" xfId="1699" builtinId="9" hidden="1"/>
    <cellStyle name="Followed Hyperlink" xfId="1701" builtinId="9" hidden="1"/>
    <cellStyle name="Followed Hyperlink" xfId="1703" builtinId="9" hidden="1"/>
    <cellStyle name="Followed Hyperlink" xfId="1705" builtinId="9" hidden="1"/>
    <cellStyle name="Followed Hyperlink" xfId="1707" builtinId="9" hidden="1"/>
    <cellStyle name="Followed Hyperlink" xfId="1709" builtinId="9" hidden="1"/>
    <cellStyle name="Followed Hyperlink" xfId="1711" builtinId="9" hidden="1"/>
    <cellStyle name="Followed Hyperlink" xfId="1713" builtinId="9" hidden="1"/>
    <cellStyle name="Followed Hyperlink" xfId="1715" builtinId="9" hidden="1"/>
    <cellStyle name="Followed Hyperlink" xfId="1717" builtinId="9" hidden="1"/>
    <cellStyle name="Followed Hyperlink" xfId="1719" builtinId="9" hidden="1"/>
    <cellStyle name="Followed Hyperlink" xfId="1721" builtinId="9" hidden="1"/>
    <cellStyle name="Followed Hyperlink" xfId="1723" builtinId="9" hidden="1"/>
    <cellStyle name="Followed Hyperlink" xfId="1725" builtinId="9" hidden="1"/>
    <cellStyle name="Followed Hyperlink" xfId="1727" builtinId="9" hidden="1"/>
    <cellStyle name="Followed Hyperlink" xfId="1729" builtinId="9" hidden="1"/>
    <cellStyle name="Followed Hyperlink" xfId="1731" builtinId="9" hidden="1"/>
    <cellStyle name="Followed Hyperlink" xfId="1733" builtinId="9" hidden="1"/>
    <cellStyle name="Followed Hyperlink" xfId="1735" builtinId="9" hidden="1"/>
    <cellStyle name="Followed Hyperlink" xfId="1737" builtinId="9" hidden="1"/>
    <cellStyle name="Followed Hyperlink" xfId="1739" builtinId="9" hidden="1"/>
    <cellStyle name="Followed Hyperlink" xfId="1741" builtinId="9" hidden="1"/>
    <cellStyle name="Followed Hyperlink" xfId="1743" builtinId="9" hidden="1"/>
    <cellStyle name="Followed Hyperlink" xfId="1745" builtinId="9" hidden="1"/>
    <cellStyle name="Followed Hyperlink" xfId="1747" builtinId="9" hidden="1"/>
    <cellStyle name="Followed Hyperlink" xfId="1749" builtinId="9" hidden="1"/>
    <cellStyle name="Followed Hyperlink" xfId="1751" builtinId="9" hidden="1"/>
    <cellStyle name="Followed Hyperlink" xfId="1753" builtinId="9" hidden="1"/>
    <cellStyle name="Followed Hyperlink" xfId="1755" builtinId="9" hidden="1"/>
    <cellStyle name="Followed Hyperlink" xfId="1757" builtinId="9" hidden="1"/>
    <cellStyle name="Followed Hyperlink" xfId="1759" builtinId="9" hidden="1"/>
    <cellStyle name="Followed Hyperlink" xfId="1761" builtinId="9" hidden="1"/>
    <cellStyle name="Followed Hyperlink" xfId="1763" builtinId="9" hidden="1"/>
    <cellStyle name="Followed Hyperlink" xfId="1765" builtinId="9" hidden="1"/>
    <cellStyle name="Followed Hyperlink" xfId="1767" builtinId="9" hidden="1"/>
    <cellStyle name="Followed Hyperlink" xfId="1769" builtinId="9" hidden="1"/>
    <cellStyle name="Followed Hyperlink" xfId="1771" builtinId="9" hidden="1"/>
    <cellStyle name="Followed Hyperlink" xfId="1773" builtinId="9" hidden="1"/>
    <cellStyle name="Followed Hyperlink" xfId="1775" builtinId="9" hidden="1"/>
    <cellStyle name="Followed Hyperlink" xfId="1777" builtinId="9" hidden="1"/>
    <cellStyle name="Followed Hyperlink" xfId="1779" builtinId="9" hidden="1"/>
    <cellStyle name="Followed Hyperlink" xfId="1781" builtinId="9" hidden="1"/>
    <cellStyle name="Followed Hyperlink" xfId="1783" builtinId="9" hidden="1"/>
    <cellStyle name="Followed Hyperlink" xfId="1785" builtinId="9" hidden="1"/>
    <cellStyle name="Followed Hyperlink" xfId="1787" builtinId="9" hidden="1"/>
    <cellStyle name="Followed Hyperlink" xfId="1789" builtinId="9" hidden="1"/>
    <cellStyle name="Followed Hyperlink" xfId="1791" builtinId="9" hidden="1"/>
    <cellStyle name="Followed Hyperlink" xfId="1793" builtinId="9" hidden="1"/>
    <cellStyle name="Followed Hyperlink" xfId="1795" builtinId="9" hidden="1"/>
    <cellStyle name="Followed Hyperlink" xfId="1797" builtinId="9" hidden="1"/>
    <cellStyle name="Followed Hyperlink" xfId="1799" builtinId="9" hidden="1"/>
    <cellStyle name="Followed Hyperlink" xfId="1801" builtinId="9" hidden="1"/>
    <cellStyle name="Followed Hyperlink" xfId="1803" builtinId="9" hidden="1"/>
    <cellStyle name="Followed Hyperlink" xfId="1805" builtinId="9" hidden="1"/>
    <cellStyle name="Followed Hyperlink" xfId="1807" builtinId="9" hidden="1"/>
    <cellStyle name="Followed Hyperlink" xfId="1809" builtinId="9" hidden="1"/>
    <cellStyle name="Followed Hyperlink" xfId="1811" builtinId="9" hidden="1"/>
    <cellStyle name="Followed Hyperlink" xfId="1813" builtinId="9" hidden="1"/>
    <cellStyle name="Followed Hyperlink" xfId="1815" builtinId="9" hidden="1"/>
    <cellStyle name="Followed Hyperlink" xfId="1817" builtinId="9" hidden="1"/>
    <cellStyle name="Followed Hyperlink" xfId="1819" builtinId="9" hidden="1"/>
    <cellStyle name="Followed Hyperlink" xfId="1821" builtinId="9" hidden="1"/>
    <cellStyle name="Followed Hyperlink" xfId="1823" builtinId="9" hidden="1"/>
    <cellStyle name="Followed Hyperlink" xfId="1825" builtinId="9" hidden="1"/>
    <cellStyle name="Followed Hyperlink" xfId="1827" builtinId="9" hidden="1"/>
    <cellStyle name="Followed Hyperlink" xfId="1829" builtinId="9" hidden="1"/>
    <cellStyle name="Followed Hyperlink" xfId="1831" builtinId="9" hidden="1"/>
    <cellStyle name="Followed Hyperlink" xfId="1833" builtinId="9" hidden="1"/>
    <cellStyle name="Followed Hyperlink" xfId="1835" builtinId="9" hidden="1"/>
    <cellStyle name="Followed Hyperlink" xfId="1837" builtinId="9" hidden="1"/>
    <cellStyle name="Followed Hyperlink" xfId="1839" builtinId="9" hidden="1"/>
    <cellStyle name="Followed Hyperlink" xfId="1841" builtinId="9" hidden="1"/>
    <cellStyle name="Followed Hyperlink" xfId="1843" builtinId="9" hidden="1"/>
    <cellStyle name="Followed Hyperlink" xfId="1845" builtinId="9" hidden="1"/>
    <cellStyle name="Followed Hyperlink" xfId="1847" builtinId="9" hidden="1"/>
    <cellStyle name="Followed Hyperlink" xfId="1849" builtinId="9" hidden="1"/>
    <cellStyle name="Followed Hyperlink" xfId="1851" builtinId="9" hidden="1"/>
    <cellStyle name="Followed Hyperlink" xfId="1853" builtinId="9" hidden="1"/>
    <cellStyle name="Followed Hyperlink" xfId="1855" builtinId="9" hidden="1"/>
    <cellStyle name="Followed Hyperlink" xfId="1857" builtinId="9" hidden="1"/>
    <cellStyle name="Followed Hyperlink" xfId="1859" builtinId="9" hidden="1"/>
    <cellStyle name="Followed Hyperlink" xfId="1861" builtinId="9" hidden="1"/>
    <cellStyle name="Followed Hyperlink" xfId="1863" builtinId="9" hidden="1"/>
    <cellStyle name="Followed Hyperlink" xfId="1865" builtinId="9" hidden="1"/>
    <cellStyle name="Followed Hyperlink" xfId="1867" builtinId="9" hidden="1"/>
    <cellStyle name="Followed Hyperlink" xfId="1869" builtinId="9" hidden="1"/>
    <cellStyle name="Followed Hyperlink" xfId="1871" builtinId="9" hidden="1"/>
    <cellStyle name="Followed Hyperlink" xfId="1873" builtinId="9" hidden="1"/>
    <cellStyle name="Followed Hyperlink" xfId="1875" builtinId="9" hidden="1"/>
    <cellStyle name="Followed Hyperlink" xfId="1877" builtinId="9" hidden="1"/>
    <cellStyle name="Followed Hyperlink" xfId="1879" builtinId="9" hidden="1"/>
    <cellStyle name="Followed Hyperlink" xfId="1881" builtinId="9" hidden="1"/>
    <cellStyle name="Followed Hyperlink" xfId="1883" builtinId="9" hidden="1"/>
    <cellStyle name="Followed Hyperlink" xfId="1885" builtinId="9" hidden="1"/>
    <cellStyle name="Followed Hyperlink" xfId="1887" builtinId="9" hidden="1"/>
    <cellStyle name="Followed Hyperlink" xfId="1889" builtinId="9" hidden="1"/>
    <cellStyle name="Followed Hyperlink" xfId="1891" builtinId="9" hidden="1"/>
    <cellStyle name="Followed Hyperlink" xfId="1893" builtinId="9" hidden="1"/>
    <cellStyle name="Followed Hyperlink" xfId="1895" builtinId="9" hidden="1"/>
    <cellStyle name="Followed Hyperlink" xfId="1897" builtinId="9" hidden="1"/>
    <cellStyle name="Followed Hyperlink" xfId="1899" builtinId="9" hidden="1"/>
    <cellStyle name="Followed Hyperlink" xfId="1901" builtinId="9" hidden="1"/>
    <cellStyle name="Followed Hyperlink" xfId="1903" builtinId="9" hidden="1"/>
    <cellStyle name="Followed Hyperlink" xfId="1905" builtinId="9" hidden="1"/>
    <cellStyle name="Followed Hyperlink" xfId="1907" builtinId="9" hidden="1"/>
    <cellStyle name="Followed Hyperlink" xfId="1909" builtinId="9" hidden="1"/>
    <cellStyle name="Followed Hyperlink" xfId="1911" builtinId="9" hidden="1"/>
    <cellStyle name="Followed Hyperlink" xfId="1913" builtinId="9" hidden="1"/>
    <cellStyle name="Followed Hyperlink" xfId="1915" builtinId="9" hidden="1"/>
    <cellStyle name="Followed Hyperlink" xfId="1917" builtinId="9" hidden="1"/>
    <cellStyle name="Followed Hyperlink" xfId="1919" builtinId="9" hidden="1"/>
    <cellStyle name="Followed Hyperlink" xfId="1921" builtinId="9" hidden="1"/>
    <cellStyle name="Followed Hyperlink" xfId="1923" builtinId="9" hidden="1"/>
    <cellStyle name="Followed Hyperlink" xfId="1925" builtinId="9" hidden="1"/>
    <cellStyle name="Followed Hyperlink" xfId="1927" builtinId="9" hidden="1"/>
    <cellStyle name="Followed Hyperlink" xfId="1929" builtinId="9" hidden="1"/>
    <cellStyle name="Followed Hyperlink" xfId="1931" builtinId="9" hidden="1"/>
    <cellStyle name="Followed Hyperlink" xfId="1933" builtinId="9" hidden="1"/>
    <cellStyle name="Followed Hyperlink" xfId="1935" builtinId="9" hidden="1"/>
    <cellStyle name="Followed Hyperlink" xfId="1937" builtinId="9" hidden="1"/>
    <cellStyle name="Followed Hyperlink" xfId="1939" builtinId="9" hidden="1"/>
    <cellStyle name="Followed Hyperlink" xfId="1941" builtinId="9" hidden="1"/>
    <cellStyle name="Followed Hyperlink" xfId="1943" builtinId="9" hidden="1"/>
    <cellStyle name="Followed Hyperlink" xfId="1945" builtinId="9" hidden="1"/>
    <cellStyle name="Followed Hyperlink" xfId="1947" builtinId="9" hidden="1"/>
    <cellStyle name="Followed Hyperlink" xfId="1949" builtinId="9" hidden="1"/>
    <cellStyle name="Followed Hyperlink" xfId="1951" builtinId="9" hidden="1"/>
    <cellStyle name="Followed Hyperlink" xfId="1953" builtinId="9" hidden="1"/>
    <cellStyle name="Followed Hyperlink" xfId="1955" builtinId="9" hidden="1"/>
    <cellStyle name="Followed Hyperlink" xfId="1957" builtinId="9" hidden="1"/>
    <cellStyle name="Followed Hyperlink" xfId="1959" builtinId="9" hidden="1"/>
    <cellStyle name="Followed Hyperlink" xfId="1961" builtinId="9" hidden="1"/>
    <cellStyle name="Followed Hyperlink" xfId="1963" builtinId="9" hidden="1"/>
    <cellStyle name="Followed Hyperlink" xfId="1965" builtinId="9" hidden="1"/>
    <cellStyle name="Followed Hyperlink" xfId="1967" builtinId="9" hidden="1"/>
    <cellStyle name="Followed Hyperlink" xfId="1969" builtinId="9" hidden="1"/>
    <cellStyle name="Followed Hyperlink" xfId="1971" builtinId="9" hidden="1"/>
    <cellStyle name="Followed Hyperlink" xfId="1973" builtinId="9" hidden="1"/>
    <cellStyle name="Followed Hyperlink" xfId="1975" builtinId="9" hidden="1"/>
    <cellStyle name="Followed Hyperlink" xfId="1977" builtinId="9" hidden="1"/>
    <cellStyle name="Followed Hyperlink" xfId="1979" builtinId="9" hidden="1"/>
    <cellStyle name="Followed Hyperlink" xfId="1981" builtinId="9" hidden="1"/>
    <cellStyle name="Followed Hyperlink" xfId="1983" builtinId="9" hidden="1"/>
    <cellStyle name="Followed Hyperlink" xfId="1985" builtinId="9" hidden="1"/>
    <cellStyle name="Followed Hyperlink" xfId="1987" builtinId="9" hidden="1"/>
    <cellStyle name="Followed Hyperlink" xfId="1989" builtinId="9" hidden="1"/>
    <cellStyle name="Followed Hyperlink" xfId="1991" builtinId="9" hidden="1"/>
    <cellStyle name="Followed Hyperlink" xfId="1993" builtinId="9" hidden="1"/>
    <cellStyle name="Followed Hyperlink" xfId="1995" builtinId="9" hidden="1"/>
    <cellStyle name="Followed Hyperlink" xfId="1997" builtinId="9" hidden="1"/>
    <cellStyle name="Followed Hyperlink" xfId="1999" builtinId="9" hidden="1"/>
    <cellStyle name="Followed Hyperlink" xfId="2001" builtinId="9" hidden="1"/>
    <cellStyle name="Followed Hyperlink" xfId="2003" builtinId="9" hidden="1"/>
    <cellStyle name="Followed Hyperlink" xfId="2005" builtinId="9" hidden="1"/>
    <cellStyle name="Followed Hyperlink" xfId="2007" builtinId="9" hidden="1"/>
    <cellStyle name="Followed Hyperlink" xfId="2009" builtinId="9" hidden="1"/>
    <cellStyle name="Followed Hyperlink" xfId="2011" builtinId="9" hidden="1"/>
    <cellStyle name="Followed Hyperlink" xfId="2013" builtinId="9" hidden="1"/>
    <cellStyle name="Followed Hyperlink" xfId="2015" builtinId="9" hidden="1"/>
    <cellStyle name="Followed Hyperlink" xfId="2017" builtinId="9" hidden="1"/>
    <cellStyle name="Followed Hyperlink" xfId="2019" builtinId="9" hidden="1"/>
    <cellStyle name="Followed Hyperlink" xfId="2021" builtinId="9" hidden="1"/>
    <cellStyle name="Followed Hyperlink" xfId="2023" builtinId="9" hidden="1"/>
    <cellStyle name="Followed Hyperlink" xfId="2025" builtinId="9" hidden="1"/>
    <cellStyle name="Followed Hyperlink" xfId="2027" builtinId="9" hidden="1"/>
    <cellStyle name="Followed Hyperlink" xfId="2029" builtinId="9" hidden="1"/>
    <cellStyle name="Followed Hyperlink" xfId="2031" builtinId="9" hidden="1"/>
    <cellStyle name="Followed Hyperlink" xfId="2033" builtinId="9" hidden="1"/>
    <cellStyle name="Followed Hyperlink" xfId="2035" builtinId="9" hidden="1"/>
    <cellStyle name="Followed Hyperlink" xfId="2037" builtinId="9" hidden="1"/>
    <cellStyle name="Followed Hyperlink" xfId="2039" builtinId="9" hidden="1"/>
    <cellStyle name="Followed Hyperlink" xfId="2041" builtinId="9" hidden="1"/>
    <cellStyle name="Followed Hyperlink" xfId="2043" builtinId="9" hidden="1"/>
    <cellStyle name="Followed Hyperlink" xfId="2045" builtinId="9" hidden="1"/>
    <cellStyle name="Followed Hyperlink" xfId="2047" builtinId="9" hidden="1"/>
    <cellStyle name="Followed Hyperlink" xfId="2049" builtinId="9" hidden="1"/>
    <cellStyle name="Followed Hyperlink" xfId="2051" builtinId="9" hidden="1"/>
    <cellStyle name="Followed Hyperlink" xfId="2053" builtinId="9" hidden="1"/>
    <cellStyle name="Followed Hyperlink" xfId="2055" builtinId="9" hidden="1"/>
    <cellStyle name="Followed Hyperlink" xfId="2057" builtinId="9" hidden="1"/>
    <cellStyle name="Followed Hyperlink" xfId="2059" builtinId="9" hidden="1"/>
    <cellStyle name="Followed Hyperlink" xfId="2061" builtinId="9" hidden="1"/>
    <cellStyle name="Followed Hyperlink" xfId="2063" builtinId="9" hidden="1"/>
    <cellStyle name="Followed Hyperlink" xfId="2065" builtinId="9" hidden="1"/>
    <cellStyle name="Followed Hyperlink" xfId="2067"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5" builtinId="9" hidden="1"/>
    <cellStyle name="Followed Hyperlink" xfId="2137" builtinId="9" hidden="1"/>
    <cellStyle name="Followed Hyperlink" xfId="2139" builtinId="9" hidden="1"/>
    <cellStyle name="Followed Hyperlink" xfId="2141" builtinId="9" hidden="1"/>
    <cellStyle name="Followed Hyperlink" xfId="2143" builtinId="9" hidden="1"/>
    <cellStyle name="Followed Hyperlink" xfId="2145" builtinId="9" hidden="1"/>
    <cellStyle name="Followed Hyperlink" xfId="2147" builtinId="9" hidden="1"/>
    <cellStyle name="Followed Hyperlink" xfId="2149" builtinId="9" hidden="1"/>
    <cellStyle name="Followed Hyperlink" xfId="2151" builtinId="9" hidden="1"/>
    <cellStyle name="Followed Hyperlink" xfId="2153" builtinId="9" hidden="1"/>
    <cellStyle name="Followed Hyperlink" xfId="2155" builtinId="9" hidden="1"/>
    <cellStyle name="Followed Hyperlink" xfId="2157" builtinId="9" hidden="1"/>
    <cellStyle name="Followed Hyperlink" xfId="2159" builtinId="9" hidden="1"/>
    <cellStyle name="Followed Hyperlink" xfId="2161" builtinId="9" hidden="1"/>
    <cellStyle name="Followed Hyperlink" xfId="2163" builtinId="9" hidden="1"/>
    <cellStyle name="Followed Hyperlink" xfId="2165" builtinId="9" hidden="1"/>
    <cellStyle name="Followed Hyperlink" xfId="2167" builtinId="9" hidden="1"/>
    <cellStyle name="Followed Hyperlink" xfId="2169" builtinId="9" hidden="1"/>
    <cellStyle name="Followed Hyperlink" xfId="2171" builtinId="9" hidden="1"/>
    <cellStyle name="Followed Hyperlink" xfId="2173" builtinId="9" hidden="1"/>
    <cellStyle name="Followed Hyperlink" xfId="2175" builtinId="9" hidden="1"/>
    <cellStyle name="Followed Hyperlink" xfId="2177" builtinId="9" hidden="1"/>
    <cellStyle name="Followed Hyperlink" xfId="2179" builtinId="9" hidden="1"/>
    <cellStyle name="Followed Hyperlink" xfId="2181" builtinId="9" hidden="1"/>
    <cellStyle name="Followed Hyperlink" xfId="2183" builtinId="9" hidden="1"/>
    <cellStyle name="Followed Hyperlink" xfId="2185" builtinId="9" hidden="1"/>
    <cellStyle name="Followed Hyperlink" xfId="2187" builtinId="9" hidden="1"/>
    <cellStyle name="Followed Hyperlink" xfId="2189" builtinId="9" hidden="1"/>
    <cellStyle name="Followed Hyperlink" xfId="2191" builtinId="9" hidden="1"/>
    <cellStyle name="Followed Hyperlink" xfId="2193" builtinId="9" hidden="1"/>
    <cellStyle name="Followed Hyperlink" xfId="2195" builtinId="9" hidden="1"/>
    <cellStyle name="Followed Hyperlink" xfId="2197" builtinId="9" hidden="1"/>
    <cellStyle name="Followed Hyperlink" xfId="2199" builtinId="9" hidden="1"/>
    <cellStyle name="Followed Hyperlink" xfId="2201" builtinId="9" hidden="1"/>
    <cellStyle name="Followed Hyperlink" xfId="2203" builtinId="9" hidden="1"/>
    <cellStyle name="Followed Hyperlink" xfId="2205" builtinId="9" hidden="1"/>
    <cellStyle name="Followed Hyperlink" xfId="2207" builtinId="9" hidden="1"/>
    <cellStyle name="Followed Hyperlink" xfId="2209" builtinId="9" hidden="1"/>
    <cellStyle name="Followed Hyperlink" xfId="2211" builtinId="9" hidden="1"/>
    <cellStyle name="Followed Hyperlink" xfId="2213" builtinId="9" hidden="1"/>
    <cellStyle name="Followed Hyperlink" xfId="2215" builtinId="9" hidden="1"/>
    <cellStyle name="Followed Hyperlink" xfId="2217" builtinId="9" hidden="1"/>
    <cellStyle name="Followed Hyperlink" xfId="2219" builtinId="9" hidden="1"/>
    <cellStyle name="Followed Hyperlink" xfId="2221" builtinId="9" hidden="1"/>
    <cellStyle name="Followed Hyperlink" xfId="2223" builtinId="9" hidden="1"/>
    <cellStyle name="Followed Hyperlink" xfId="2225" builtinId="9" hidden="1"/>
    <cellStyle name="Followed Hyperlink" xfId="2227" builtinId="9" hidden="1"/>
    <cellStyle name="Followed Hyperlink" xfId="2229" builtinId="9" hidden="1"/>
    <cellStyle name="Followed Hyperlink" xfId="2231" builtinId="9" hidden="1"/>
    <cellStyle name="Followed Hyperlink" xfId="2233" builtinId="9" hidden="1"/>
    <cellStyle name="Followed Hyperlink" xfId="2235" builtinId="9" hidden="1"/>
    <cellStyle name="Followed Hyperlink" xfId="2237" builtinId="9" hidden="1"/>
    <cellStyle name="Followed Hyperlink" xfId="2239" builtinId="9" hidden="1"/>
    <cellStyle name="Followed Hyperlink" xfId="2241"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9" builtinId="9" hidden="1"/>
    <cellStyle name="Followed Hyperlink" xfId="2681" builtinId="9" hidden="1"/>
    <cellStyle name="Followed Hyperlink" xfId="2683" builtinId="9" hidden="1"/>
    <cellStyle name="Followed Hyperlink" xfId="2685" builtinId="9" hidden="1"/>
    <cellStyle name="Followed Hyperlink" xfId="2687" builtinId="9" hidden="1"/>
    <cellStyle name="Followed Hyperlink" xfId="2689" builtinId="9" hidden="1"/>
    <cellStyle name="Followed Hyperlink" xfId="2691" builtinId="9" hidden="1"/>
    <cellStyle name="Followed Hyperlink" xfId="2693" builtinId="9" hidden="1"/>
    <cellStyle name="Followed Hyperlink" xfId="2695" builtinId="9" hidden="1"/>
    <cellStyle name="Followed Hyperlink" xfId="2697" builtinId="9" hidden="1"/>
    <cellStyle name="Followed Hyperlink" xfId="2699" builtinId="9" hidden="1"/>
    <cellStyle name="Followed Hyperlink" xfId="2701" builtinId="9" hidden="1"/>
    <cellStyle name="Followed Hyperlink" xfId="2703" builtinId="9" hidden="1"/>
    <cellStyle name="Followed Hyperlink" xfId="2705" builtinId="9" hidden="1"/>
    <cellStyle name="Followed Hyperlink" xfId="2707" builtinId="9" hidden="1"/>
    <cellStyle name="Followed Hyperlink" xfId="2709" builtinId="9" hidden="1"/>
    <cellStyle name="Followed Hyperlink" xfId="2711" builtinId="9" hidden="1"/>
    <cellStyle name="Followed Hyperlink" xfId="2713" builtinId="9" hidden="1"/>
    <cellStyle name="Followed Hyperlink" xfId="2715" builtinId="9" hidden="1"/>
    <cellStyle name="Followed Hyperlink" xfId="2717" builtinId="9" hidden="1"/>
    <cellStyle name="Followed Hyperlink" xfId="2719" builtinId="9" hidden="1"/>
    <cellStyle name="Followed Hyperlink" xfId="2721" builtinId="9" hidden="1"/>
    <cellStyle name="Followed Hyperlink" xfId="2723" builtinId="9" hidden="1"/>
    <cellStyle name="Followed Hyperlink" xfId="2725" builtinId="9" hidden="1"/>
    <cellStyle name="Followed Hyperlink" xfId="2727" builtinId="9" hidden="1"/>
    <cellStyle name="Followed Hyperlink" xfId="2729" builtinId="9" hidden="1"/>
    <cellStyle name="Followed Hyperlink" xfId="2731" builtinId="9" hidden="1"/>
    <cellStyle name="Followed Hyperlink" xfId="2733" builtinId="9" hidden="1"/>
    <cellStyle name="Followed Hyperlink" xfId="2735" builtinId="9" hidden="1"/>
    <cellStyle name="Followed Hyperlink" xfId="2737" builtinId="9" hidden="1"/>
    <cellStyle name="Followed Hyperlink" xfId="2739" builtinId="9" hidden="1"/>
    <cellStyle name="Followed Hyperlink" xfId="2741" builtinId="9" hidden="1"/>
    <cellStyle name="Followed Hyperlink" xfId="2743" builtinId="9" hidden="1"/>
    <cellStyle name="Followed Hyperlink" xfId="2745" builtinId="9" hidden="1"/>
    <cellStyle name="Followed Hyperlink" xfId="2747" builtinId="9" hidden="1"/>
    <cellStyle name="Followed Hyperlink" xfId="2749" builtinId="9" hidden="1"/>
    <cellStyle name="Followed Hyperlink" xfId="2751" builtinId="9" hidden="1"/>
    <cellStyle name="Followed Hyperlink" xfId="2753" builtinId="9" hidden="1"/>
    <cellStyle name="Followed Hyperlink" xfId="2755" builtinId="9" hidden="1"/>
    <cellStyle name="Followed Hyperlink" xfId="2757" builtinId="9" hidden="1"/>
    <cellStyle name="Followed Hyperlink" xfId="2759" builtinId="9" hidden="1"/>
    <cellStyle name="Followed Hyperlink" xfId="2761" builtinId="9" hidden="1"/>
    <cellStyle name="Followed Hyperlink" xfId="2763" builtinId="9" hidden="1"/>
    <cellStyle name="Followed Hyperlink" xfId="2765" builtinId="9" hidden="1"/>
    <cellStyle name="Followed Hyperlink" xfId="2767" builtinId="9" hidden="1"/>
    <cellStyle name="Followed Hyperlink" xfId="2769" builtinId="9" hidden="1"/>
    <cellStyle name="Followed Hyperlink" xfId="2771" builtinId="9" hidden="1"/>
    <cellStyle name="Followed Hyperlink" xfId="2773" builtinId="9" hidden="1"/>
    <cellStyle name="Followed Hyperlink" xfId="2775" builtinId="9" hidden="1"/>
    <cellStyle name="Followed Hyperlink" xfId="2777" builtinId="9" hidden="1"/>
    <cellStyle name="Followed Hyperlink" xfId="2779" builtinId="9" hidden="1"/>
    <cellStyle name="Followed Hyperlink" xfId="2781" builtinId="9" hidden="1"/>
    <cellStyle name="Followed Hyperlink" xfId="2783" builtinId="9" hidden="1"/>
    <cellStyle name="Followed Hyperlink" xfId="2785" builtinId="9" hidden="1"/>
    <cellStyle name="Followed Hyperlink" xfId="2787" builtinId="9" hidden="1"/>
    <cellStyle name="Followed Hyperlink" xfId="2789" builtinId="9" hidden="1"/>
    <cellStyle name="Followed Hyperlink" xfId="2791" builtinId="9" hidden="1"/>
    <cellStyle name="Followed Hyperlink" xfId="2793" builtinId="9" hidden="1"/>
    <cellStyle name="Followed Hyperlink" xfId="2795" builtinId="9" hidden="1"/>
    <cellStyle name="Followed Hyperlink" xfId="2797" builtinId="9" hidden="1"/>
    <cellStyle name="Followed Hyperlink" xfId="2799" builtinId="9" hidden="1"/>
    <cellStyle name="Followed Hyperlink" xfId="2801" builtinId="9" hidden="1"/>
    <cellStyle name="Followed Hyperlink" xfId="2803" builtinId="9" hidden="1"/>
    <cellStyle name="Followed Hyperlink" xfId="2805" builtinId="9" hidden="1"/>
    <cellStyle name="Followed Hyperlink" xfId="2807" builtinId="9" hidden="1"/>
    <cellStyle name="Followed Hyperlink" xfId="2809" builtinId="9" hidden="1"/>
    <cellStyle name="Followed Hyperlink" xfId="2811" builtinId="9" hidden="1"/>
    <cellStyle name="Followed Hyperlink" xfId="2813" builtinId="9" hidden="1"/>
    <cellStyle name="Followed Hyperlink" xfId="2815" builtinId="9" hidden="1"/>
    <cellStyle name="Followed Hyperlink" xfId="2817" builtinId="9" hidden="1"/>
    <cellStyle name="Followed Hyperlink" xfId="2819" builtinId="9" hidden="1"/>
    <cellStyle name="Followed Hyperlink" xfId="2821" builtinId="9" hidden="1"/>
    <cellStyle name="Followed Hyperlink" xfId="2823" builtinId="9" hidden="1"/>
    <cellStyle name="Followed Hyperlink" xfId="2825" builtinId="9" hidden="1"/>
    <cellStyle name="Followed Hyperlink" xfId="2827" builtinId="9" hidden="1"/>
    <cellStyle name="Followed Hyperlink" xfId="2829" builtinId="9" hidden="1"/>
    <cellStyle name="Followed Hyperlink" xfId="2831" builtinId="9" hidden="1"/>
    <cellStyle name="Followed Hyperlink" xfId="2833" builtinId="9" hidden="1"/>
    <cellStyle name="Followed Hyperlink" xfId="2835" builtinId="9" hidden="1"/>
    <cellStyle name="Followed Hyperlink" xfId="2837" builtinId="9" hidden="1"/>
    <cellStyle name="Followed Hyperlink" xfId="2839" builtinId="9" hidden="1"/>
    <cellStyle name="Followed Hyperlink" xfId="2841" builtinId="9" hidden="1"/>
    <cellStyle name="Followed Hyperlink" xfId="2843" builtinId="9" hidden="1"/>
    <cellStyle name="Followed Hyperlink" xfId="2845" builtinId="9" hidden="1"/>
    <cellStyle name="Followed Hyperlink" xfId="2847" builtinId="9" hidden="1"/>
    <cellStyle name="Followed Hyperlink" xfId="2849" builtinId="9" hidden="1"/>
    <cellStyle name="Followed Hyperlink" xfId="2851" builtinId="9" hidden="1"/>
    <cellStyle name="Followed Hyperlink" xfId="2853" builtinId="9" hidden="1"/>
    <cellStyle name="Followed Hyperlink" xfId="2855" builtinId="9" hidden="1"/>
    <cellStyle name="Followed Hyperlink" xfId="2857" builtinId="9" hidden="1"/>
    <cellStyle name="Followed Hyperlink" xfId="2859" builtinId="9" hidden="1"/>
    <cellStyle name="Followed Hyperlink" xfId="2861" builtinId="9" hidden="1"/>
    <cellStyle name="Followed Hyperlink" xfId="2863" builtinId="9" hidden="1"/>
    <cellStyle name="Followed Hyperlink" xfId="2865" builtinId="9" hidden="1"/>
    <cellStyle name="Followed Hyperlink" xfId="2867" builtinId="9" hidden="1"/>
    <cellStyle name="Followed Hyperlink" xfId="2869" builtinId="9" hidden="1"/>
    <cellStyle name="Followed Hyperlink" xfId="2871" builtinId="9" hidden="1"/>
    <cellStyle name="Followed Hyperlink" xfId="2873" builtinId="9" hidden="1"/>
    <cellStyle name="Followed Hyperlink" xfId="2875" builtinId="9" hidden="1"/>
    <cellStyle name="Followed Hyperlink" xfId="2877" builtinId="9" hidden="1"/>
    <cellStyle name="Followed Hyperlink" xfId="2879" builtinId="9" hidden="1"/>
    <cellStyle name="Followed Hyperlink" xfId="2881" builtinId="9" hidden="1"/>
    <cellStyle name="Followed Hyperlink" xfId="2883" builtinId="9" hidden="1"/>
    <cellStyle name="Followed Hyperlink" xfId="2885" builtinId="9" hidden="1"/>
    <cellStyle name="Followed Hyperlink" xfId="2887" builtinId="9" hidden="1"/>
    <cellStyle name="Followed Hyperlink" xfId="2889" builtinId="9" hidden="1"/>
    <cellStyle name="Followed Hyperlink" xfId="2891" builtinId="9" hidden="1"/>
    <cellStyle name="Followed Hyperlink" xfId="2893" builtinId="9" hidden="1"/>
    <cellStyle name="Followed Hyperlink" xfId="2895" builtinId="9" hidden="1"/>
    <cellStyle name="Followed Hyperlink" xfId="2897" builtinId="9" hidden="1"/>
    <cellStyle name="Followed Hyperlink" xfId="2899" builtinId="9" hidden="1"/>
    <cellStyle name="Followed Hyperlink" xfId="2901" builtinId="9" hidden="1"/>
    <cellStyle name="Followed Hyperlink" xfId="2903" builtinId="9" hidden="1"/>
    <cellStyle name="Followed Hyperlink" xfId="2905" builtinId="9" hidden="1"/>
    <cellStyle name="Followed Hyperlink" xfId="2907" builtinId="9" hidden="1"/>
    <cellStyle name="Followed Hyperlink" xfId="2909" builtinId="9" hidden="1"/>
    <cellStyle name="Followed Hyperlink" xfId="2911" builtinId="9" hidden="1"/>
    <cellStyle name="Followed Hyperlink" xfId="2913" builtinId="9" hidden="1"/>
    <cellStyle name="Followed Hyperlink" xfId="2915" builtinId="9" hidden="1"/>
    <cellStyle name="Followed Hyperlink" xfId="2917" builtinId="9" hidden="1"/>
    <cellStyle name="Followed Hyperlink" xfId="2919" builtinId="9" hidden="1"/>
    <cellStyle name="Followed Hyperlink" xfId="2921" builtinId="9" hidden="1"/>
    <cellStyle name="Followed Hyperlink" xfId="2923" builtinId="9" hidden="1"/>
    <cellStyle name="Followed Hyperlink" xfId="2925" builtinId="9" hidden="1"/>
    <cellStyle name="Followed Hyperlink" xfId="2927" builtinId="9" hidden="1"/>
    <cellStyle name="Followed Hyperlink" xfId="2929" builtinId="9" hidden="1"/>
    <cellStyle name="Followed Hyperlink" xfId="2931" builtinId="9" hidden="1"/>
    <cellStyle name="Followed Hyperlink" xfId="2933" builtinId="9" hidden="1"/>
    <cellStyle name="Followed Hyperlink" xfId="2935" builtinId="9" hidden="1"/>
    <cellStyle name="Followed Hyperlink" xfId="2937" builtinId="9" hidden="1"/>
    <cellStyle name="Followed Hyperlink" xfId="2939" builtinId="9" hidden="1"/>
    <cellStyle name="Followed Hyperlink" xfId="2941" builtinId="9" hidden="1"/>
    <cellStyle name="Followed Hyperlink" xfId="2943" builtinId="9" hidden="1"/>
    <cellStyle name="Followed Hyperlink" xfId="2945" builtinId="9" hidden="1"/>
    <cellStyle name="Followed Hyperlink" xfId="2947" builtinId="9" hidden="1"/>
    <cellStyle name="Followed Hyperlink" xfId="2949" builtinId="9" hidden="1"/>
    <cellStyle name="Followed Hyperlink" xfId="2951" builtinId="9" hidden="1"/>
    <cellStyle name="Followed Hyperlink" xfId="2953" builtinId="9" hidden="1"/>
    <cellStyle name="Followed Hyperlink" xfId="2955" builtinId="9" hidden="1"/>
    <cellStyle name="Followed Hyperlink" xfId="2957" builtinId="9" hidden="1"/>
    <cellStyle name="Followed Hyperlink" xfId="2959" builtinId="9" hidden="1"/>
    <cellStyle name="Followed Hyperlink" xfId="2961" builtinId="9" hidden="1"/>
    <cellStyle name="Followed Hyperlink" xfId="2963" builtinId="9" hidden="1"/>
    <cellStyle name="Followed Hyperlink" xfId="2965" builtinId="9" hidden="1"/>
    <cellStyle name="Followed Hyperlink" xfId="2967" builtinId="9" hidden="1"/>
    <cellStyle name="Followed Hyperlink" xfId="2969" builtinId="9" hidden="1"/>
    <cellStyle name="Followed Hyperlink" xfId="2971" builtinId="9" hidden="1"/>
    <cellStyle name="Followed Hyperlink" xfId="2973" builtinId="9" hidden="1"/>
    <cellStyle name="Followed Hyperlink" xfId="2975" builtinId="9" hidden="1"/>
    <cellStyle name="Followed Hyperlink" xfId="2977" builtinId="9" hidden="1"/>
    <cellStyle name="Followed Hyperlink" xfId="2979" builtinId="9" hidden="1"/>
    <cellStyle name="Followed Hyperlink" xfId="2981" builtinId="9" hidden="1"/>
    <cellStyle name="Followed Hyperlink" xfId="2983" builtinId="9" hidden="1"/>
    <cellStyle name="Followed Hyperlink" xfId="2985" builtinId="9" hidden="1"/>
    <cellStyle name="Followed Hyperlink" xfId="2987" builtinId="9" hidden="1"/>
    <cellStyle name="Followed Hyperlink" xfId="2989" builtinId="9" hidden="1"/>
    <cellStyle name="Followed Hyperlink" xfId="2991" builtinId="9" hidden="1"/>
    <cellStyle name="Followed Hyperlink" xfId="2993" builtinId="9" hidden="1"/>
    <cellStyle name="Followed Hyperlink" xfId="2995" builtinId="9" hidden="1"/>
    <cellStyle name="Followed Hyperlink" xfId="2997" builtinId="9" hidden="1"/>
    <cellStyle name="Followed Hyperlink" xfId="2999" builtinId="9" hidden="1"/>
    <cellStyle name="Followed Hyperlink" xfId="3001" builtinId="9" hidden="1"/>
    <cellStyle name="Followed Hyperlink" xfId="3003" builtinId="9" hidden="1"/>
    <cellStyle name="Followed Hyperlink" xfId="3005" builtinId="9" hidden="1"/>
    <cellStyle name="Followed Hyperlink" xfId="3007" builtinId="9" hidden="1"/>
    <cellStyle name="Followed Hyperlink" xfId="3009" builtinId="9" hidden="1"/>
    <cellStyle name="Followed Hyperlink" xfId="3011" builtinId="9" hidden="1"/>
    <cellStyle name="Followed Hyperlink" xfId="3013" builtinId="9" hidden="1"/>
    <cellStyle name="Followed Hyperlink" xfId="3015" builtinId="9" hidden="1"/>
    <cellStyle name="Followed Hyperlink" xfId="3017" builtinId="9" hidden="1"/>
    <cellStyle name="Followed Hyperlink" xfId="3019" builtinId="9" hidden="1"/>
    <cellStyle name="Followed Hyperlink" xfId="3021" builtinId="9" hidden="1"/>
    <cellStyle name="Followed Hyperlink" xfId="3023" builtinId="9" hidden="1"/>
    <cellStyle name="Followed Hyperlink" xfId="3025" builtinId="9" hidden="1"/>
    <cellStyle name="Followed Hyperlink" xfId="3027" builtinId="9" hidden="1"/>
    <cellStyle name="Followed Hyperlink" xfId="3029" builtinId="9" hidden="1"/>
    <cellStyle name="Followed Hyperlink" xfId="3031" builtinId="9" hidden="1"/>
    <cellStyle name="Followed Hyperlink" xfId="3033" builtinId="9" hidden="1"/>
    <cellStyle name="Followed Hyperlink" xfId="3035" builtinId="9" hidden="1"/>
    <cellStyle name="Followed Hyperlink" xfId="3037" builtinId="9" hidden="1"/>
    <cellStyle name="Followed Hyperlink" xfId="3039" builtinId="9" hidden="1"/>
    <cellStyle name="Followed Hyperlink" xfId="3041" builtinId="9" hidden="1"/>
    <cellStyle name="Followed Hyperlink" xfId="3043" builtinId="9" hidden="1"/>
    <cellStyle name="Followed Hyperlink" xfId="3045" builtinId="9" hidden="1"/>
    <cellStyle name="Followed Hyperlink" xfId="3047" builtinId="9" hidden="1"/>
    <cellStyle name="Followed Hyperlink" xfId="3049" builtinId="9" hidden="1"/>
    <cellStyle name="Followed Hyperlink" xfId="3051" builtinId="9" hidden="1"/>
    <cellStyle name="Followed Hyperlink" xfId="3053" builtinId="9" hidden="1"/>
    <cellStyle name="Followed Hyperlink" xfId="3055" builtinId="9" hidden="1"/>
    <cellStyle name="Followed Hyperlink" xfId="3057" builtinId="9" hidden="1"/>
    <cellStyle name="Followed Hyperlink" xfId="3059" builtinId="9" hidden="1"/>
    <cellStyle name="Followed Hyperlink" xfId="3061" builtinId="9" hidden="1"/>
    <cellStyle name="Followed Hyperlink" xfId="3063" builtinId="9" hidden="1"/>
    <cellStyle name="Followed Hyperlink" xfId="3065" builtinId="9" hidden="1"/>
    <cellStyle name="Followed Hyperlink" xfId="3067" builtinId="9" hidden="1"/>
    <cellStyle name="Followed Hyperlink" xfId="3069" builtinId="9" hidden="1"/>
    <cellStyle name="Followed Hyperlink" xfId="3071" builtinId="9" hidden="1"/>
    <cellStyle name="Followed Hyperlink" xfId="3073" builtinId="9" hidden="1"/>
    <cellStyle name="Followed Hyperlink" xfId="3075" builtinId="9" hidden="1"/>
    <cellStyle name="Followed Hyperlink" xfId="3077" builtinId="9" hidden="1"/>
    <cellStyle name="Followed Hyperlink" xfId="3079" builtinId="9" hidden="1"/>
    <cellStyle name="Followed Hyperlink" xfId="3081" builtinId="9" hidden="1"/>
    <cellStyle name="Followed Hyperlink" xfId="3083" builtinId="9" hidden="1"/>
    <cellStyle name="Followed Hyperlink" xfId="3085" builtinId="9" hidden="1"/>
    <cellStyle name="Followed Hyperlink" xfId="3087" builtinId="9" hidden="1"/>
    <cellStyle name="Followed Hyperlink" xfId="3089" builtinId="9" hidden="1"/>
    <cellStyle name="Followed Hyperlink" xfId="3091" builtinId="9" hidden="1"/>
    <cellStyle name="Followed Hyperlink" xfId="3093" builtinId="9" hidden="1"/>
    <cellStyle name="Followed Hyperlink" xfId="3095" builtinId="9" hidden="1"/>
    <cellStyle name="Followed Hyperlink" xfId="3097" builtinId="9" hidden="1"/>
    <cellStyle name="Followed Hyperlink" xfId="3099" builtinId="9" hidden="1"/>
    <cellStyle name="Followed Hyperlink" xfId="3101" builtinId="9" hidden="1"/>
    <cellStyle name="Followed Hyperlink" xfId="3103" builtinId="9" hidden="1"/>
    <cellStyle name="Followed Hyperlink" xfId="3105" builtinId="9" hidden="1"/>
    <cellStyle name="Followed Hyperlink" xfId="3107" builtinId="9" hidden="1"/>
    <cellStyle name="Followed Hyperlink" xfId="3109" builtinId="9" hidden="1"/>
    <cellStyle name="Followed Hyperlink" xfId="3111" builtinId="9" hidden="1"/>
    <cellStyle name="Followed Hyperlink" xfId="3113" builtinId="9" hidden="1"/>
    <cellStyle name="Followed Hyperlink" xfId="3115" builtinId="9" hidden="1"/>
    <cellStyle name="Followed Hyperlink" xfId="3117" builtinId="9" hidden="1"/>
    <cellStyle name="Followed Hyperlink" xfId="3119" builtinId="9" hidden="1"/>
    <cellStyle name="Followed Hyperlink" xfId="3121" builtinId="9" hidden="1"/>
    <cellStyle name="Followed Hyperlink" xfId="3123" builtinId="9" hidden="1"/>
    <cellStyle name="Followed Hyperlink" xfId="3125" builtinId="9" hidden="1"/>
    <cellStyle name="Followed Hyperlink" xfId="3127" builtinId="9" hidden="1"/>
    <cellStyle name="Followed Hyperlink" xfId="3129" builtinId="9" hidden="1"/>
    <cellStyle name="Followed Hyperlink" xfId="3131" builtinId="9" hidden="1"/>
    <cellStyle name="Followed Hyperlink" xfId="3133" builtinId="9" hidden="1"/>
    <cellStyle name="Followed Hyperlink" xfId="3135" builtinId="9" hidden="1"/>
    <cellStyle name="Followed Hyperlink" xfId="3137" builtinId="9" hidden="1"/>
    <cellStyle name="Followed Hyperlink" xfId="3139" builtinId="9" hidden="1"/>
    <cellStyle name="Followed Hyperlink" xfId="3141" builtinId="9" hidden="1"/>
    <cellStyle name="Followed Hyperlink" xfId="3143" builtinId="9" hidden="1"/>
    <cellStyle name="Followed Hyperlink" xfId="3145" builtinId="9" hidden="1"/>
    <cellStyle name="Followed Hyperlink" xfId="3147" builtinId="9" hidden="1"/>
    <cellStyle name="Followed Hyperlink" xfId="3149" builtinId="9" hidden="1"/>
    <cellStyle name="Followed Hyperlink" xfId="3151" builtinId="9" hidden="1"/>
    <cellStyle name="Followed Hyperlink" xfId="3153" builtinId="9" hidden="1"/>
    <cellStyle name="Followed Hyperlink" xfId="3155" builtinId="9" hidden="1"/>
    <cellStyle name="Followed Hyperlink" xfId="3157" builtinId="9" hidden="1"/>
    <cellStyle name="Followed Hyperlink" xfId="3159" builtinId="9" hidden="1"/>
    <cellStyle name="Followed Hyperlink" xfId="3161" builtinId="9" hidden="1"/>
    <cellStyle name="Followed Hyperlink" xfId="3163" builtinId="9" hidden="1"/>
    <cellStyle name="Followed Hyperlink" xfId="3165" builtinId="9" hidden="1"/>
    <cellStyle name="Followed Hyperlink" xfId="3167" builtinId="9" hidden="1"/>
    <cellStyle name="Followed Hyperlink" xfId="3169" builtinId="9" hidden="1"/>
    <cellStyle name="Followed Hyperlink" xfId="3171" builtinId="9" hidden="1"/>
    <cellStyle name="Followed Hyperlink" xfId="3173" builtinId="9" hidden="1"/>
    <cellStyle name="Followed Hyperlink" xfId="3175" builtinId="9" hidden="1"/>
    <cellStyle name="Followed Hyperlink" xfId="3177" builtinId="9" hidden="1"/>
    <cellStyle name="Followed Hyperlink" xfId="3179" builtinId="9" hidden="1"/>
    <cellStyle name="Followed Hyperlink" xfId="3181" builtinId="9" hidden="1"/>
    <cellStyle name="Followed Hyperlink" xfId="3183" builtinId="9" hidden="1"/>
    <cellStyle name="Followed Hyperlink" xfId="3185" builtinId="9" hidden="1"/>
    <cellStyle name="Followed Hyperlink" xfId="3187" builtinId="9" hidden="1"/>
    <cellStyle name="Followed Hyperlink" xfId="3189" builtinId="9" hidden="1"/>
    <cellStyle name="Followed Hyperlink" xfId="3191" builtinId="9" hidden="1"/>
    <cellStyle name="Followed Hyperlink" xfId="3193" builtinId="9" hidden="1"/>
    <cellStyle name="Followed Hyperlink" xfId="3195" builtinId="9" hidden="1"/>
    <cellStyle name="Followed Hyperlink" xfId="3197" builtinId="9" hidden="1"/>
    <cellStyle name="Followed Hyperlink" xfId="3199" builtinId="9" hidden="1"/>
    <cellStyle name="Followed Hyperlink" xfId="3201" builtinId="9" hidden="1"/>
    <cellStyle name="Followed Hyperlink" xfId="3203" builtinId="9" hidden="1"/>
    <cellStyle name="Followed Hyperlink" xfId="3205" builtinId="9" hidden="1"/>
    <cellStyle name="Followed Hyperlink" xfId="3207" builtinId="9" hidden="1"/>
    <cellStyle name="Followed Hyperlink" xfId="3209" builtinId="9" hidden="1"/>
    <cellStyle name="Followed Hyperlink" xfId="3211" builtinId="9" hidden="1"/>
    <cellStyle name="Followed Hyperlink" xfId="3213" builtinId="9" hidden="1"/>
    <cellStyle name="Followed Hyperlink" xfId="3215" builtinId="9" hidden="1"/>
    <cellStyle name="Followed Hyperlink" xfId="3217" builtinId="9" hidden="1"/>
    <cellStyle name="Followed Hyperlink" xfId="3219" builtinId="9" hidden="1"/>
    <cellStyle name="Followed Hyperlink" xfId="3221" builtinId="9" hidden="1"/>
    <cellStyle name="Followed Hyperlink" xfId="3223" builtinId="9" hidden="1"/>
    <cellStyle name="Followed Hyperlink" xfId="3225" builtinId="9" hidden="1"/>
    <cellStyle name="Followed Hyperlink" xfId="3227" builtinId="9" hidden="1"/>
    <cellStyle name="Followed Hyperlink" xfId="3229" builtinId="9" hidden="1"/>
    <cellStyle name="Followed Hyperlink" xfId="3231" builtinId="9" hidden="1"/>
    <cellStyle name="Followed Hyperlink" xfId="3233" builtinId="9" hidden="1"/>
    <cellStyle name="Followed Hyperlink" xfId="3235" builtinId="9" hidden="1"/>
    <cellStyle name="Followed Hyperlink" xfId="3237" builtinId="9" hidden="1"/>
    <cellStyle name="Followed Hyperlink" xfId="3239" builtinId="9" hidden="1"/>
    <cellStyle name="Followed Hyperlink" xfId="3241" builtinId="9" hidden="1"/>
    <cellStyle name="Followed Hyperlink" xfId="3243" builtinId="9" hidden="1"/>
    <cellStyle name="Followed Hyperlink" xfId="3245" builtinId="9" hidden="1"/>
    <cellStyle name="Followed Hyperlink" xfId="3247" builtinId="9" hidden="1"/>
    <cellStyle name="Followed Hyperlink" xfId="3249" builtinId="9" hidden="1"/>
    <cellStyle name="Followed Hyperlink" xfId="3251" builtinId="9" hidden="1"/>
    <cellStyle name="Followed Hyperlink" xfId="3253" builtinId="9" hidden="1"/>
    <cellStyle name="Followed Hyperlink" xfId="3255" builtinId="9" hidden="1"/>
    <cellStyle name="Followed Hyperlink" xfId="3257" builtinId="9" hidden="1"/>
    <cellStyle name="Followed Hyperlink" xfId="3259" builtinId="9" hidden="1"/>
    <cellStyle name="Followed Hyperlink" xfId="3261" builtinId="9" hidden="1"/>
    <cellStyle name="Followed Hyperlink" xfId="3263" builtinId="9" hidden="1"/>
    <cellStyle name="Followed Hyperlink" xfId="3265" builtinId="9" hidden="1"/>
    <cellStyle name="Followed Hyperlink" xfId="3267" builtinId="9" hidden="1"/>
    <cellStyle name="Followed Hyperlink" xfId="3269" builtinId="9" hidden="1"/>
    <cellStyle name="Followed Hyperlink" xfId="3271" builtinId="9" hidden="1"/>
    <cellStyle name="Followed Hyperlink" xfId="3273" builtinId="9" hidden="1"/>
    <cellStyle name="Followed Hyperlink" xfId="3275" builtinId="9" hidden="1"/>
    <cellStyle name="Followed Hyperlink" xfId="3277" builtinId="9" hidden="1"/>
    <cellStyle name="Followed Hyperlink" xfId="3279" builtinId="9" hidden="1"/>
    <cellStyle name="Followed Hyperlink" xfId="3281" builtinId="9" hidden="1"/>
    <cellStyle name="Followed Hyperlink" xfId="3283" builtinId="9" hidden="1"/>
    <cellStyle name="Followed Hyperlink" xfId="3285" builtinId="9" hidden="1"/>
    <cellStyle name="Followed Hyperlink" xfId="3287" builtinId="9" hidden="1"/>
    <cellStyle name="Followed Hyperlink" xfId="3289" builtinId="9" hidden="1"/>
    <cellStyle name="Followed Hyperlink" xfId="3291" builtinId="9" hidden="1"/>
    <cellStyle name="Followed Hyperlink" xfId="3293" builtinId="9" hidden="1"/>
    <cellStyle name="Followed Hyperlink" xfId="3295" builtinId="9" hidden="1"/>
    <cellStyle name="Followed Hyperlink" xfId="3297" builtinId="9" hidden="1"/>
    <cellStyle name="Followed Hyperlink" xfId="3299" builtinId="9" hidden="1"/>
    <cellStyle name="Followed Hyperlink" xfId="3301" builtinId="9" hidden="1"/>
    <cellStyle name="Followed Hyperlink" xfId="3303" builtinId="9" hidden="1"/>
    <cellStyle name="Followed Hyperlink" xfId="3305" builtinId="9" hidden="1"/>
    <cellStyle name="Followed Hyperlink" xfId="3307" builtinId="9" hidden="1"/>
    <cellStyle name="Followed Hyperlink" xfId="3309" builtinId="9" hidden="1"/>
    <cellStyle name="Followed Hyperlink" xfId="3311" builtinId="9" hidden="1"/>
    <cellStyle name="Followed Hyperlink" xfId="3313" builtinId="9" hidden="1"/>
    <cellStyle name="Followed Hyperlink" xfId="3315" builtinId="9" hidden="1"/>
    <cellStyle name="Followed Hyperlink" xfId="3317" builtinId="9" hidden="1"/>
    <cellStyle name="Followed Hyperlink" xfId="3319" builtinId="9" hidden="1"/>
    <cellStyle name="Followed Hyperlink" xfId="3321" builtinId="9" hidden="1"/>
    <cellStyle name="Followed Hyperlink" xfId="3323" builtinId="9" hidden="1"/>
    <cellStyle name="Followed Hyperlink" xfId="3325" builtinId="9" hidden="1"/>
    <cellStyle name="Followed Hyperlink" xfId="3327" builtinId="9" hidden="1"/>
    <cellStyle name="Followed Hyperlink" xfId="3329" builtinId="9" hidden="1"/>
    <cellStyle name="Followed Hyperlink" xfId="3331" builtinId="9" hidden="1"/>
    <cellStyle name="Followed Hyperlink" xfId="3333" builtinId="9" hidden="1"/>
    <cellStyle name="Followed Hyperlink" xfId="3335" builtinId="9" hidden="1"/>
    <cellStyle name="Followed Hyperlink" xfId="3337" builtinId="9" hidden="1"/>
    <cellStyle name="Followed Hyperlink" xfId="3339" builtinId="9" hidden="1"/>
    <cellStyle name="Followed Hyperlink" xfId="3341" builtinId="9" hidden="1"/>
    <cellStyle name="Followed Hyperlink" xfId="3343" builtinId="9" hidden="1"/>
    <cellStyle name="Followed Hyperlink" xfId="3345" builtinId="9" hidden="1"/>
    <cellStyle name="Followed Hyperlink" xfId="3347" builtinId="9" hidden="1"/>
    <cellStyle name="Followed Hyperlink" xfId="3349" builtinId="9" hidden="1"/>
    <cellStyle name="Followed Hyperlink" xfId="3351" builtinId="9" hidden="1"/>
    <cellStyle name="Followed Hyperlink" xfId="3353" builtinId="9" hidden="1"/>
    <cellStyle name="Followed Hyperlink" xfId="3355" builtinId="9" hidden="1"/>
    <cellStyle name="Followed Hyperlink" xfId="3357" builtinId="9" hidden="1"/>
    <cellStyle name="Followed Hyperlink" xfId="3359" builtinId="9" hidden="1"/>
    <cellStyle name="Followed Hyperlink" xfId="3361" builtinId="9" hidden="1"/>
    <cellStyle name="Followed Hyperlink" xfId="3363" builtinId="9" hidden="1"/>
    <cellStyle name="Followed Hyperlink" xfId="3365" builtinId="9" hidden="1"/>
    <cellStyle name="Followed Hyperlink" xfId="3367" builtinId="9" hidden="1"/>
    <cellStyle name="Followed Hyperlink" xfId="3369" builtinId="9" hidden="1"/>
    <cellStyle name="Followed Hyperlink" xfId="3371" builtinId="9" hidden="1"/>
    <cellStyle name="Followed Hyperlink" xfId="3373" builtinId="9" hidden="1"/>
    <cellStyle name="Followed Hyperlink" xfId="3375" builtinId="9" hidden="1"/>
    <cellStyle name="Followed Hyperlink" xfId="3377" builtinId="9" hidden="1"/>
    <cellStyle name="Followed Hyperlink" xfId="3379" builtinId="9" hidden="1"/>
    <cellStyle name="Followed Hyperlink" xfId="3381" builtinId="9" hidden="1"/>
    <cellStyle name="Followed Hyperlink" xfId="3383" builtinId="9" hidden="1"/>
    <cellStyle name="Followed Hyperlink" xfId="3385" builtinId="9" hidden="1"/>
    <cellStyle name="Followed Hyperlink" xfId="3387" builtinId="9" hidden="1"/>
    <cellStyle name="Followed Hyperlink" xfId="3389" builtinId="9" hidden="1"/>
    <cellStyle name="Followed Hyperlink" xfId="3391" builtinId="9" hidden="1"/>
    <cellStyle name="Followed Hyperlink" xfId="3393" builtinId="9" hidden="1"/>
    <cellStyle name="Followed Hyperlink" xfId="3395" builtinId="9" hidden="1"/>
    <cellStyle name="Followed Hyperlink" xfId="3397" builtinId="9" hidden="1"/>
    <cellStyle name="Followed Hyperlink" xfId="3399" builtinId="9" hidden="1"/>
    <cellStyle name="Followed Hyperlink" xfId="3401" builtinId="9" hidden="1"/>
    <cellStyle name="Followed Hyperlink" xfId="3403" builtinId="9" hidden="1"/>
    <cellStyle name="Followed Hyperlink" xfId="3405" builtinId="9" hidden="1"/>
    <cellStyle name="Followed Hyperlink" xfId="3407" builtinId="9" hidden="1"/>
    <cellStyle name="Followed Hyperlink" xfId="3409" builtinId="9" hidden="1"/>
    <cellStyle name="Followed Hyperlink" xfId="3411" builtinId="9" hidden="1"/>
    <cellStyle name="Followed Hyperlink" xfId="3413" builtinId="9" hidden="1"/>
    <cellStyle name="Followed Hyperlink" xfId="3415" builtinId="9" hidden="1"/>
    <cellStyle name="Followed Hyperlink" xfId="3417" builtinId="9" hidden="1"/>
    <cellStyle name="Followed Hyperlink" xfId="3419" builtinId="9" hidden="1"/>
    <cellStyle name="Followed Hyperlink" xfId="3421" builtinId="9" hidden="1"/>
    <cellStyle name="Followed Hyperlink" xfId="3423" builtinId="9" hidden="1"/>
    <cellStyle name="Followed Hyperlink" xfId="3425" builtinId="9" hidden="1"/>
    <cellStyle name="Followed Hyperlink" xfId="3427" builtinId="9" hidden="1"/>
    <cellStyle name="Followed Hyperlink" xfId="3429" builtinId="9" hidden="1"/>
    <cellStyle name="Followed Hyperlink" xfId="3431" builtinId="9" hidden="1"/>
    <cellStyle name="Followed Hyperlink" xfId="3433" builtinId="9" hidden="1"/>
    <cellStyle name="Followed Hyperlink" xfId="3435" builtinId="9" hidden="1"/>
    <cellStyle name="Followed Hyperlink" xfId="3437" builtinId="9" hidden="1"/>
    <cellStyle name="Followed Hyperlink" xfId="3439" builtinId="9" hidden="1"/>
    <cellStyle name="Followed Hyperlink" xfId="3441" builtinId="9" hidden="1"/>
    <cellStyle name="Followed Hyperlink" xfId="3443" builtinId="9" hidden="1"/>
    <cellStyle name="Followed Hyperlink" xfId="3445" builtinId="9" hidden="1"/>
    <cellStyle name="Followed Hyperlink" xfId="3447" builtinId="9" hidden="1"/>
    <cellStyle name="Followed Hyperlink" xfId="3449" builtinId="9" hidden="1"/>
    <cellStyle name="Followed Hyperlink" xfId="3451" builtinId="9" hidden="1"/>
    <cellStyle name="Followed Hyperlink" xfId="3453" builtinId="9" hidden="1"/>
    <cellStyle name="Followed Hyperlink" xfId="3455" builtinId="9" hidden="1"/>
    <cellStyle name="Followed Hyperlink" xfId="3457" builtinId="9" hidden="1"/>
    <cellStyle name="Followed Hyperlink" xfId="3459" builtinId="9" hidden="1"/>
    <cellStyle name="Followed Hyperlink" xfId="3461" builtinId="9" hidden="1"/>
    <cellStyle name="Followed Hyperlink" xfId="3463" builtinId="9" hidden="1"/>
    <cellStyle name="Followed Hyperlink" xfId="3465" builtinId="9" hidden="1"/>
    <cellStyle name="Followed Hyperlink" xfId="3467" builtinId="9" hidden="1"/>
    <cellStyle name="Followed Hyperlink" xfId="3469" builtinId="9" hidden="1"/>
    <cellStyle name="Followed Hyperlink" xfId="3471" builtinId="9" hidden="1"/>
    <cellStyle name="Followed Hyperlink" xfId="3473" builtinId="9" hidden="1"/>
    <cellStyle name="Followed Hyperlink" xfId="3475" builtinId="9" hidden="1"/>
    <cellStyle name="Followed Hyperlink" xfId="3477" builtinId="9" hidden="1"/>
    <cellStyle name="Followed Hyperlink" xfId="3479" builtinId="9" hidden="1"/>
    <cellStyle name="Followed Hyperlink" xfId="3481" builtinId="9" hidden="1"/>
    <cellStyle name="Followed Hyperlink" xfId="3483" builtinId="9" hidden="1"/>
    <cellStyle name="Followed Hyperlink" xfId="3485" builtinId="9" hidden="1"/>
    <cellStyle name="Followed Hyperlink" xfId="3487" builtinId="9" hidden="1"/>
    <cellStyle name="Followed Hyperlink" xfId="3489" builtinId="9" hidden="1"/>
    <cellStyle name="Followed Hyperlink" xfId="3491" builtinId="9" hidden="1"/>
    <cellStyle name="Followed Hyperlink" xfId="3493" builtinId="9" hidden="1"/>
    <cellStyle name="Followed Hyperlink" xfId="3495" builtinId="9" hidden="1"/>
    <cellStyle name="Followed Hyperlink" xfId="3497" builtinId="9" hidden="1"/>
    <cellStyle name="Followed Hyperlink" xfId="3499" builtinId="9" hidden="1"/>
    <cellStyle name="Followed Hyperlink" xfId="3501" builtinId="9" hidden="1"/>
    <cellStyle name="Followed Hyperlink" xfId="3503" builtinId="9" hidden="1"/>
    <cellStyle name="Followed Hyperlink" xfId="3505" builtinId="9" hidden="1"/>
    <cellStyle name="Followed Hyperlink" xfId="3507" builtinId="9" hidden="1"/>
    <cellStyle name="Followed Hyperlink" xfId="3509" builtinId="9" hidden="1"/>
    <cellStyle name="Followed Hyperlink" xfId="3511" builtinId="9" hidden="1"/>
    <cellStyle name="Followed Hyperlink" xfId="3513" builtinId="9" hidden="1"/>
    <cellStyle name="Followed Hyperlink" xfId="3515" builtinId="9" hidden="1"/>
    <cellStyle name="Followed Hyperlink" xfId="3517" builtinId="9" hidden="1"/>
    <cellStyle name="Followed Hyperlink" xfId="3519" builtinId="9" hidden="1"/>
    <cellStyle name="Followed Hyperlink" xfId="3521" builtinId="9" hidden="1"/>
    <cellStyle name="Followed Hyperlink" xfId="3523" builtinId="9" hidden="1"/>
    <cellStyle name="Followed Hyperlink" xfId="3525" builtinId="9" hidden="1"/>
    <cellStyle name="Followed Hyperlink" xfId="3527" builtinId="9" hidden="1"/>
    <cellStyle name="Followed Hyperlink" xfId="3529" builtinId="9" hidden="1"/>
    <cellStyle name="Followed Hyperlink" xfId="3531" builtinId="9" hidden="1"/>
    <cellStyle name="Followed Hyperlink" xfId="3533" builtinId="9" hidden="1"/>
    <cellStyle name="Followed Hyperlink" xfId="3535" builtinId="9" hidden="1"/>
    <cellStyle name="Followed Hyperlink" xfId="3537" builtinId="9" hidden="1"/>
    <cellStyle name="Followed Hyperlink" xfId="3539" builtinId="9" hidden="1"/>
    <cellStyle name="Followed Hyperlink" xfId="3541" builtinId="9" hidden="1"/>
    <cellStyle name="Followed Hyperlink" xfId="3543" builtinId="9" hidden="1"/>
    <cellStyle name="Followed Hyperlink" xfId="3545" builtinId="9" hidden="1"/>
    <cellStyle name="Followed Hyperlink" xfId="3547" builtinId="9" hidden="1"/>
    <cellStyle name="Followed Hyperlink" xfId="3549" builtinId="9" hidden="1"/>
    <cellStyle name="Followed Hyperlink" xfId="3551" builtinId="9" hidden="1"/>
    <cellStyle name="Followed Hyperlink" xfId="3553" builtinId="9" hidden="1"/>
    <cellStyle name="Followed Hyperlink" xfId="3555" builtinId="9" hidden="1"/>
    <cellStyle name="Followed Hyperlink" xfId="3557" builtinId="9" hidden="1"/>
    <cellStyle name="Followed Hyperlink" xfId="3559" builtinId="9" hidden="1"/>
    <cellStyle name="Followed Hyperlink" xfId="3561" builtinId="9" hidden="1"/>
    <cellStyle name="Followed Hyperlink" xfId="3563" builtinId="9" hidden="1"/>
    <cellStyle name="Followed Hyperlink" xfId="3565" builtinId="9" hidden="1"/>
    <cellStyle name="Followed Hyperlink" xfId="3567" builtinId="9" hidden="1"/>
    <cellStyle name="Followed Hyperlink" xfId="3569" builtinId="9" hidden="1"/>
    <cellStyle name="Followed Hyperlink" xfId="3571" builtinId="9" hidden="1"/>
    <cellStyle name="Followed Hyperlink" xfId="3573" builtinId="9" hidden="1"/>
    <cellStyle name="Followed Hyperlink" xfId="3575" builtinId="9" hidden="1"/>
    <cellStyle name="Followed Hyperlink" xfId="3577" builtinId="9" hidden="1"/>
    <cellStyle name="Followed Hyperlink" xfId="3579" builtinId="9" hidden="1"/>
    <cellStyle name="Followed Hyperlink" xfId="3581" builtinId="9" hidden="1"/>
    <cellStyle name="Followed Hyperlink" xfId="3583" builtinId="9" hidden="1"/>
    <cellStyle name="Followed Hyperlink" xfId="3585" builtinId="9" hidden="1"/>
    <cellStyle name="Followed Hyperlink" xfId="3587" builtinId="9" hidden="1"/>
    <cellStyle name="Followed Hyperlink" xfId="3589" builtinId="9" hidden="1"/>
    <cellStyle name="Followed Hyperlink" xfId="3591" builtinId="9" hidden="1"/>
    <cellStyle name="Followed Hyperlink" xfId="3593" builtinId="9" hidden="1"/>
    <cellStyle name="Followed Hyperlink" xfId="3595" builtinId="9" hidden="1"/>
    <cellStyle name="Followed Hyperlink" xfId="3597" builtinId="9" hidden="1"/>
    <cellStyle name="Followed Hyperlink" xfId="3599" builtinId="9" hidden="1"/>
    <cellStyle name="Followed Hyperlink" xfId="3601" builtinId="9" hidden="1"/>
    <cellStyle name="Followed Hyperlink" xfId="3603" builtinId="9" hidden="1"/>
    <cellStyle name="Followed Hyperlink" xfId="3605" builtinId="9" hidden="1"/>
    <cellStyle name="Followed Hyperlink" xfId="3607" builtinId="9" hidden="1"/>
    <cellStyle name="Followed Hyperlink" xfId="3609" builtinId="9" hidden="1"/>
    <cellStyle name="Followed Hyperlink" xfId="3611" builtinId="9" hidden="1"/>
    <cellStyle name="Followed Hyperlink" xfId="3613" builtinId="9" hidden="1"/>
    <cellStyle name="Followed Hyperlink" xfId="3615" builtinId="9" hidden="1"/>
    <cellStyle name="Followed Hyperlink" xfId="3617" builtinId="9" hidden="1"/>
    <cellStyle name="Followed Hyperlink" xfId="3619" builtinId="9" hidden="1"/>
    <cellStyle name="Followed Hyperlink" xfId="3621" builtinId="9" hidden="1"/>
    <cellStyle name="Followed Hyperlink" xfId="3623" builtinId="9" hidden="1"/>
    <cellStyle name="Followed Hyperlink" xfId="3625" builtinId="9" hidden="1"/>
    <cellStyle name="Followed Hyperlink" xfId="3627" builtinId="9" hidden="1"/>
    <cellStyle name="Followed Hyperlink" xfId="3629" builtinId="9" hidden="1"/>
    <cellStyle name="Followed Hyperlink" xfId="3631" builtinId="9" hidden="1"/>
    <cellStyle name="Followed Hyperlink" xfId="3633" builtinId="9" hidden="1"/>
    <cellStyle name="Followed Hyperlink" xfId="3635" builtinId="9" hidden="1"/>
    <cellStyle name="Followed Hyperlink" xfId="3637" builtinId="9" hidden="1"/>
    <cellStyle name="Followed Hyperlink" xfId="3639" builtinId="9" hidden="1"/>
    <cellStyle name="Followed Hyperlink" xfId="3641" builtinId="9" hidden="1"/>
    <cellStyle name="Followed Hyperlink" xfId="3643" builtinId="9" hidden="1"/>
    <cellStyle name="Followed Hyperlink" xfId="3645" builtinId="9" hidden="1"/>
    <cellStyle name="Followed Hyperlink" xfId="3647" builtinId="9" hidden="1"/>
    <cellStyle name="Followed Hyperlink" xfId="3649" builtinId="9" hidden="1"/>
    <cellStyle name="Followed Hyperlink" xfId="3651" builtinId="9" hidden="1"/>
    <cellStyle name="Followed Hyperlink" xfId="3653" builtinId="9" hidden="1"/>
    <cellStyle name="Followed Hyperlink" xfId="3655" builtinId="9" hidden="1"/>
    <cellStyle name="Followed Hyperlink" xfId="3657" builtinId="9" hidden="1"/>
    <cellStyle name="Followed Hyperlink" xfId="3659" builtinId="9" hidden="1"/>
    <cellStyle name="Followed Hyperlink" xfId="3661" builtinId="9" hidden="1"/>
    <cellStyle name="Followed Hyperlink" xfId="3663" builtinId="9" hidden="1"/>
    <cellStyle name="Followed Hyperlink" xfId="3665" builtinId="9" hidden="1"/>
    <cellStyle name="Followed Hyperlink" xfId="3667" builtinId="9" hidden="1"/>
    <cellStyle name="Followed Hyperlink" xfId="3669" builtinId="9" hidden="1"/>
    <cellStyle name="Followed Hyperlink" xfId="3671" builtinId="9" hidden="1"/>
    <cellStyle name="Followed Hyperlink" xfId="3673" builtinId="9" hidden="1"/>
    <cellStyle name="Followed Hyperlink" xfId="3675" builtinId="9" hidden="1"/>
    <cellStyle name="Followed Hyperlink" xfId="3677" builtinId="9" hidden="1"/>
    <cellStyle name="Followed Hyperlink" xfId="3679" builtinId="9" hidden="1"/>
    <cellStyle name="Followed Hyperlink" xfId="3681" builtinId="9" hidden="1"/>
    <cellStyle name="Followed Hyperlink" xfId="3683" builtinId="9" hidden="1"/>
    <cellStyle name="Followed Hyperlink" xfId="3685" builtinId="9" hidden="1"/>
    <cellStyle name="Followed Hyperlink" xfId="3687" builtinId="9" hidden="1"/>
    <cellStyle name="Followed Hyperlink" xfId="3689" builtinId="9" hidden="1"/>
    <cellStyle name="Followed Hyperlink" xfId="3691" builtinId="9" hidden="1"/>
    <cellStyle name="Followed Hyperlink" xfId="3693" builtinId="9" hidden="1"/>
    <cellStyle name="Followed Hyperlink" xfId="3695" builtinId="9" hidden="1"/>
    <cellStyle name="Followed Hyperlink" xfId="3697" builtinId="9" hidden="1"/>
    <cellStyle name="Followed Hyperlink" xfId="3699" builtinId="9" hidden="1"/>
    <cellStyle name="Followed Hyperlink" xfId="3701" builtinId="9" hidden="1"/>
    <cellStyle name="Followed Hyperlink" xfId="3703" builtinId="9" hidden="1"/>
    <cellStyle name="Followed Hyperlink" xfId="3705" builtinId="9" hidden="1"/>
    <cellStyle name="Followed Hyperlink" xfId="3707" builtinId="9" hidden="1"/>
    <cellStyle name="Followed Hyperlink" xfId="3709" builtinId="9" hidden="1"/>
    <cellStyle name="Followed Hyperlink" xfId="3711" builtinId="9" hidden="1"/>
    <cellStyle name="Followed Hyperlink" xfId="3713" builtinId="9" hidden="1"/>
    <cellStyle name="Followed Hyperlink" xfId="3715" builtinId="9" hidden="1"/>
    <cellStyle name="Followed Hyperlink" xfId="3717" builtinId="9" hidden="1"/>
    <cellStyle name="Followed Hyperlink" xfId="3719" builtinId="9" hidden="1"/>
    <cellStyle name="Followed Hyperlink" xfId="3721" builtinId="9" hidden="1"/>
    <cellStyle name="Followed Hyperlink" xfId="3723" builtinId="9" hidden="1"/>
    <cellStyle name="Followed Hyperlink" xfId="3725" builtinId="9" hidden="1"/>
    <cellStyle name="Followed Hyperlink" xfId="3727" builtinId="9" hidden="1"/>
    <cellStyle name="Followed Hyperlink" xfId="3729" builtinId="9" hidden="1"/>
    <cellStyle name="Followed Hyperlink" xfId="3731" builtinId="9" hidden="1"/>
    <cellStyle name="Followed Hyperlink" xfId="3733" builtinId="9" hidden="1"/>
    <cellStyle name="Followed Hyperlink" xfId="3735" builtinId="9" hidden="1"/>
    <cellStyle name="Followed Hyperlink" xfId="3737" builtinId="9" hidden="1"/>
    <cellStyle name="Followed Hyperlink" xfId="3739" builtinId="9" hidden="1"/>
    <cellStyle name="Followed Hyperlink" xfId="3741" builtinId="9" hidden="1"/>
    <cellStyle name="Followed Hyperlink" xfId="3743" builtinId="9" hidden="1"/>
    <cellStyle name="Followed Hyperlink" xfId="3745" builtinId="9" hidden="1"/>
    <cellStyle name="Followed Hyperlink" xfId="3747" builtinId="9" hidden="1"/>
    <cellStyle name="Followed Hyperlink" xfId="3749" builtinId="9" hidden="1"/>
    <cellStyle name="Followed Hyperlink" xfId="3751" builtinId="9" hidden="1"/>
    <cellStyle name="Followed Hyperlink" xfId="3753" builtinId="9" hidden="1"/>
    <cellStyle name="Followed Hyperlink" xfId="3755" builtinId="9" hidden="1"/>
    <cellStyle name="Followed Hyperlink" xfId="3757" builtinId="9" hidden="1"/>
    <cellStyle name="Followed Hyperlink" xfId="3759" builtinId="9" hidden="1"/>
    <cellStyle name="Followed Hyperlink" xfId="3761" builtinId="9" hidden="1"/>
    <cellStyle name="Followed Hyperlink" xfId="3763" builtinId="9" hidden="1"/>
    <cellStyle name="Followed Hyperlink" xfId="3765" builtinId="9" hidden="1"/>
    <cellStyle name="Followed Hyperlink" xfId="3767" builtinId="9" hidden="1"/>
    <cellStyle name="Followed Hyperlink" xfId="3769" builtinId="9" hidden="1"/>
    <cellStyle name="Followed Hyperlink" xfId="3771" builtinId="9" hidden="1"/>
    <cellStyle name="Followed Hyperlink" xfId="3773" builtinId="9" hidden="1"/>
    <cellStyle name="Followed Hyperlink" xfId="3775" builtinId="9" hidden="1"/>
    <cellStyle name="Followed Hyperlink" xfId="3777" builtinId="9" hidden="1"/>
    <cellStyle name="Followed Hyperlink" xfId="3779" builtinId="9" hidden="1"/>
    <cellStyle name="Followed Hyperlink" xfId="3781" builtinId="9" hidden="1"/>
    <cellStyle name="Followed Hyperlink" xfId="3783" builtinId="9" hidden="1"/>
    <cellStyle name="Followed Hyperlink" xfId="3785" builtinId="9" hidden="1"/>
    <cellStyle name="Followed Hyperlink" xfId="3787" builtinId="9" hidden="1"/>
    <cellStyle name="Followed Hyperlink" xfId="3789" builtinId="9" hidden="1"/>
    <cellStyle name="Followed Hyperlink" xfId="3791" builtinId="9" hidden="1"/>
    <cellStyle name="Followed Hyperlink" xfId="3793" builtinId="9" hidden="1"/>
    <cellStyle name="Followed Hyperlink" xfId="3795" builtinId="9" hidden="1"/>
    <cellStyle name="Followed Hyperlink" xfId="3797" builtinId="9" hidden="1"/>
    <cellStyle name="Followed Hyperlink" xfId="3799" builtinId="9" hidden="1"/>
    <cellStyle name="Followed Hyperlink" xfId="3801" builtinId="9" hidden="1"/>
    <cellStyle name="Followed Hyperlink" xfId="3803" builtinId="9" hidden="1"/>
    <cellStyle name="Followed Hyperlink" xfId="3805" builtinId="9" hidden="1"/>
    <cellStyle name="Followed Hyperlink" xfId="3807" builtinId="9" hidden="1"/>
    <cellStyle name="Followed Hyperlink" xfId="3809" builtinId="9" hidden="1"/>
    <cellStyle name="Followed Hyperlink" xfId="3811" builtinId="9" hidden="1"/>
    <cellStyle name="Followed Hyperlink" xfId="3812" builtinId="9" hidden="1"/>
    <cellStyle name="Followed Hyperlink" xfId="3813" builtinId="9" hidden="1"/>
    <cellStyle name="Followed Hyperlink" xfId="3814" builtinId="9" hidden="1"/>
    <cellStyle name="Followed Hyperlink" xfId="3815" builtinId="9" hidden="1"/>
    <cellStyle name="Followed Hyperlink" xfId="3817" builtinId="9" hidden="1"/>
    <cellStyle name="Followed Hyperlink" xfId="3819" builtinId="9" hidden="1"/>
    <cellStyle name="Followed Hyperlink" xfId="3821" builtinId="9" hidden="1"/>
    <cellStyle name="Followed Hyperlink" xfId="3823" builtinId="9" hidden="1"/>
    <cellStyle name="Followed Hyperlink" xfId="3825" builtinId="9" hidden="1"/>
    <cellStyle name="Followed Hyperlink" xfId="3827" builtinId="9" hidden="1"/>
    <cellStyle name="Followed Hyperlink" xfId="3829" builtinId="9" hidden="1"/>
    <cellStyle name="Followed Hyperlink" xfId="3831" builtinId="9" hidden="1"/>
    <cellStyle name="Followed Hyperlink" xfId="3833" builtinId="9" hidden="1"/>
    <cellStyle name="Followed Hyperlink" xfId="3835" builtinId="9" hidden="1"/>
    <cellStyle name="Followed Hyperlink" xfId="3837" builtinId="9" hidden="1"/>
    <cellStyle name="Followed Hyperlink" xfId="3839" builtinId="9" hidden="1"/>
    <cellStyle name="Followed Hyperlink" xfId="3841" builtinId="9" hidden="1"/>
    <cellStyle name="Followed Hyperlink" xfId="3843" builtinId="9" hidden="1"/>
    <cellStyle name="Followed Hyperlink" xfId="3845" builtinId="9" hidden="1"/>
    <cellStyle name="Followed Hyperlink" xfId="3847" builtinId="9" hidden="1"/>
    <cellStyle name="Followed Hyperlink" xfId="3849" builtinId="9" hidden="1"/>
    <cellStyle name="Followed Hyperlink" xfId="3851" builtinId="9" hidden="1"/>
    <cellStyle name="Followed Hyperlink" xfId="3853" builtinId="9" hidden="1"/>
    <cellStyle name="Followed Hyperlink" xfId="3855" builtinId="9" hidden="1"/>
    <cellStyle name="Followed Hyperlink" xfId="3857" builtinId="9" hidden="1"/>
    <cellStyle name="Followed Hyperlink" xfId="3859" builtinId="9" hidden="1"/>
    <cellStyle name="Followed Hyperlink" xfId="3861" builtinId="9" hidden="1"/>
    <cellStyle name="Followed Hyperlink" xfId="3863" builtinId="9" hidden="1"/>
    <cellStyle name="Followed Hyperlink" xfId="3865" builtinId="9" hidden="1"/>
    <cellStyle name="Followed Hyperlink" xfId="3867" builtinId="9" hidden="1"/>
    <cellStyle name="Followed Hyperlink" xfId="3869" builtinId="9" hidden="1"/>
    <cellStyle name="Followed Hyperlink" xfId="3871" builtinId="9" hidden="1"/>
    <cellStyle name="Followed Hyperlink" xfId="3873" builtinId="9" hidden="1"/>
    <cellStyle name="Followed Hyperlink" xfId="3875" builtinId="9" hidden="1"/>
    <cellStyle name="Followed Hyperlink" xfId="3877" builtinId="9" hidden="1"/>
    <cellStyle name="Followed Hyperlink" xfId="3879" builtinId="9" hidden="1"/>
    <cellStyle name="Followed Hyperlink" xfId="3881" builtinId="9" hidden="1"/>
    <cellStyle name="Followed Hyperlink" xfId="3883" builtinId="9" hidden="1"/>
    <cellStyle name="Followed Hyperlink" xfId="3885" builtinId="9" hidden="1"/>
    <cellStyle name="Followed Hyperlink" xfId="3887" builtinId="9" hidden="1"/>
    <cellStyle name="Followed Hyperlink" xfId="3889" builtinId="9" hidden="1"/>
    <cellStyle name="Followed Hyperlink" xfId="3891" builtinId="9" hidden="1"/>
    <cellStyle name="Followed Hyperlink" xfId="3893" builtinId="9" hidden="1"/>
    <cellStyle name="Followed Hyperlink" xfId="3895" builtinId="9" hidden="1"/>
    <cellStyle name="Followed Hyperlink" xfId="3897" builtinId="9" hidden="1"/>
    <cellStyle name="Followed Hyperlink" xfId="3899" builtinId="9" hidden="1"/>
    <cellStyle name="Followed Hyperlink" xfId="3901" builtinId="9" hidden="1"/>
    <cellStyle name="Followed Hyperlink" xfId="3903" builtinId="9" hidden="1"/>
    <cellStyle name="Followed Hyperlink" xfId="3905" builtinId="9" hidden="1"/>
    <cellStyle name="Followed Hyperlink" xfId="3907" builtinId="9" hidden="1"/>
    <cellStyle name="Followed Hyperlink" xfId="3909" builtinId="9" hidden="1"/>
    <cellStyle name="Followed Hyperlink" xfId="3911" builtinId="9" hidden="1"/>
    <cellStyle name="Followed Hyperlink" xfId="3913" builtinId="9" hidden="1"/>
    <cellStyle name="Followed Hyperlink" xfId="3915" builtinId="9" hidden="1"/>
    <cellStyle name="Followed Hyperlink" xfId="3917" builtinId="9" hidden="1"/>
    <cellStyle name="Followed Hyperlink" xfId="3919" builtinId="9" hidden="1"/>
    <cellStyle name="Followed Hyperlink" xfId="3921" builtinId="9" hidden="1"/>
    <cellStyle name="Followed Hyperlink" xfId="3923" builtinId="9" hidden="1"/>
    <cellStyle name="Followed Hyperlink" xfId="3925" builtinId="9" hidden="1"/>
    <cellStyle name="Followed Hyperlink" xfId="3927" builtinId="9" hidden="1"/>
    <cellStyle name="Followed Hyperlink" xfId="3929" builtinId="9" hidden="1"/>
    <cellStyle name="Followed Hyperlink" xfId="3931" builtinId="9" hidden="1"/>
    <cellStyle name="Followed Hyperlink" xfId="3933" builtinId="9" hidden="1"/>
    <cellStyle name="Followed Hyperlink" xfId="3935" builtinId="9" hidden="1"/>
    <cellStyle name="Followed Hyperlink" xfId="3937" builtinId="9" hidden="1"/>
    <cellStyle name="Followed Hyperlink" xfId="3939" builtinId="9" hidden="1"/>
    <cellStyle name="Followed Hyperlink" xfId="3941" builtinId="9" hidden="1"/>
    <cellStyle name="Followed Hyperlink" xfId="3943" builtinId="9" hidden="1"/>
    <cellStyle name="Followed Hyperlink" xfId="3945" builtinId="9" hidden="1"/>
    <cellStyle name="Followed Hyperlink" xfId="3947" builtinId="9" hidden="1"/>
    <cellStyle name="Followed Hyperlink" xfId="3949" builtinId="9" hidden="1"/>
    <cellStyle name="Followed Hyperlink" xfId="3951" builtinId="9" hidden="1"/>
    <cellStyle name="Followed Hyperlink" xfId="3953" builtinId="9" hidden="1"/>
    <cellStyle name="Followed Hyperlink" xfId="3955" builtinId="9" hidden="1"/>
    <cellStyle name="Followed Hyperlink" xfId="3957" builtinId="9" hidden="1"/>
    <cellStyle name="Followed Hyperlink" xfId="3959" builtinId="9" hidden="1"/>
    <cellStyle name="Followed Hyperlink" xfId="3961" builtinId="9" hidden="1"/>
    <cellStyle name="Followed Hyperlink" xfId="3963" builtinId="9" hidden="1"/>
    <cellStyle name="Followed Hyperlink" xfId="3965" builtinId="9" hidden="1"/>
    <cellStyle name="Followed Hyperlink" xfId="3967" builtinId="9" hidden="1"/>
    <cellStyle name="Followed Hyperlink" xfId="3969" builtinId="9" hidden="1"/>
    <cellStyle name="Followed Hyperlink" xfId="3971" builtinId="9" hidden="1"/>
    <cellStyle name="Followed Hyperlink" xfId="3973" builtinId="9" hidden="1"/>
    <cellStyle name="Followed Hyperlink" xfId="3975" builtinId="9" hidden="1"/>
    <cellStyle name="Followed Hyperlink" xfId="3977" builtinId="9" hidden="1"/>
    <cellStyle name="Followed Hyperlink" xfId="3979" builtinId="9" hidden="1"/>
    <cellStyle name="Followed Hyperlink" xfId="3981" builtinId="9" hidden="1"/>
    <cellStyle name="Followed Hyperlink" xfId="3983" builtinId="9" hidden="1"/>
    <cellStyle name="Followed Hyperlink" xfId="3985" builtinId="9" hidden="1"/>
    <cellStyle name="Followed Hyperlink" xfId="3987" builtinId="9" hidden="1"/>
    <cellStyle name="Followed Hyperlink" xfId="3989" builtinId="9" hidden="1"/>
    <cellStyle name="Followed Hyperlink" xfId="3991" builtinId="9" hidden="1"/>
    <cellStyle name="Followed Hyperlink" xfId="3993" builtinId="9" hidden="1"/>
    <cellStyle name="Followed Hyperlink" xfId="3995" builtinId="9" hidden="1"/>
    <cellStyle name="Followed Hyperlink" xfId="3997" builtinId="9" hidden="1"/>
    <cellStyle name="Followed Hyperlink" xfId="3999" builtinId="9" hidden="1"/>
    <cellStyle name="Followed Hyperlink" xfId="4001" builtinId="9" hidden="1"/>
    <cellStyle name="Followed Hyperlink" xfId="4003" builtinId="9" hidden="1"/>
    <cellStyle name="Followed Hyperlink" xfId="4005" builtinId="9" hidden="1"/>
    <cellStyle name="Followed Hyperlink" xfId="4007" builtinId="9" hidden="1"/>
    <cellStyle name="Followed Hyperlink" xfId="4009" builtinId="9" hidden="1"/>
    <cellStyle name="Followed Hyperlink" xfId="4011" builtinId="9" hidden="1"/>
    <cellStyle name="Followed Hyperlink" xfId="4013" builtinId="9" hidden="1"/>
    <cellStyle name="Followed Hyperlink" xfId="4015" builtinId="9" hidden="1"/>
    <cellStyle name="Followed Hyperlink" xfId="4017" builtinId="9" hidden="1"/>
    <cellStyle name="Followed Hyperlink" xfId="4019" builtinId="9" hidden="1"/>
    <cellStyle name="Followed Hyperlink" xfId="4021" builtinId="9" hidden="1"/>
    <cellStyle name="Followed Hyperlink" xfId="4023" builtinId="9" hidden="1"/>
    <cellStyle name="Followed Hyperlink" xfId="4025" builtinId="9" hidden="1"/>
    <cellStyle name="Followed Hyperlink" xfId="4027" builtinId="9" hidden="1"/>
    <cellStyle name="Followed Hyperlink" xfId="4029" builtinId="9" hidden="1"/>
    <cellStyle name="Followed Hyperlink" xfId="4031" builtinId="9" hidden="1"/>
    <cellStyle name="Followed Hyperlink" xfId="4033" builtinId="9" hidden="1"/>
    <cellStyle name="Followed Hyperlink" xfId="4035" builtinId="9" hidden="1"/>
    <cellStyle name="Followed Hyperlink" xfId="4037" builtinId="9" hidden="1"/>
    <cellStyle name="Followed Hyperlink" xfId="4039" builtinId="9" hidden="1"/>
    <cellStyle name="Followed Hyperlink" xfId="4041" builtinId="9" hidden="1"/>
    <cellStyle name="Followed Hyperlink" xfId="4043" builtinId="9" hidden="1"/>
    <cellStyle name="Followed Hyperlink" xfId="4045" builtinId="9" hidden="1"/>
    <cellStyle name="Followed Hyperlink" xfId="4047" builtinId="9" hidden="1"/>
    <cellStyle name="Followed Hyperlink" xfId="4049" builtinId="9" hidden="1"/>
    <cellStyle name="Followed Hyperlink" xfId="4051" builtinId="9" hidden="1"/>
    <cellStyle name="Followed Hyperlink" xfId="4053" builtinId="9" hidden="1"/>
    <cellStyle name="Followed Hyperlink" xfId="4055" builtinId="9" hidden="1"/>
    <cellStyle name="Followed Hyperlink" xfId="4057" builtinId="9" hidden="1"/>
    <cellStyle name="Followed Hyperlink" xfId="4059" builtinId="9" hidden="1"/>
    <cellStyle name="Followed Hyperlink" xfId="4061" builtinId="9" hidden="1"/>
    <cellStyle name="Followed Hyperlink" xfId="4063" builtinId="9" hidden="1"/>
    <cellStyle name="Followed Hyperlink" xfId="4065" builtinId="9" hidden="1"/>
    <cellStyle name="Followed Hyperlink" xfId="4067" builtinId="9" hidden="1"/>
    <cellStyle name="Followed Hyperlink" xfId="4069" builtinId="9" hidden="1"/>
    <cellStyle name="Followed Hyperlink" xfId="4071" builtinId="9" hidden="1"/>
    <cellStyle name="Followed Hyperlink" xfId="4073" builtinId="9" hidden="1"/>
    <cellStyle name="Followed Hyperlink" xfId="4075" builtinId="9" hidden="1"/>
    <cellStyle name="Followed Hyperlink" xfId="4077" builtinId="9" hidden="1"/>
    <cellStyle name="Followed Hyperlink" xfId="4079" builtinId="9" hidden="1"/>
    <cellStyle name="Followed Hyperlink" xfId="4081" builtinId="9" hidden="1"/>
    <cellStyle name="Followed Hyperlink" xfId="4083" builtinId="9" hidden="1"/>
    <cellStyle name="Followed Hyperlink" xfId="4085" builtinId="9" hidden="1"/>
    <cellStyle name="Followed Hyperlink" xfId="4087" builtinId="9" hidden="1"/>
    <cellStyle name="Followed Hyperlink" xfId="4089" builtinId="9" hidden="1"/>
    <cellStyle name="Followed Hyperlink" xfId="4091" builtinId="9" hidden="1"/>
    <cellStyle name="Followed Hyperlink" xfId="4093" builtinId="9" hidden="1"/>
    <cellStyle name="Followed Hyperlink" xfId="4095" builtinId="9" hidden="1"/>
    <cellStyle name="Followed Hyperlink" xfId="4097" builtinId="9" hidden="1"/>
    <cellStyle name="Followed Hyperlink" xfId="4099" builtinId="9" hidden="1"/>
    <cellStyle name="Followed Hyperlink" xfId="4101" builtinId="9" hidden="1"/>
    <cellStyle name="Followed Hyperlink" xfId="4103" builtinId="9" hidden="1"/>
    <cellStyle name="Followed Hyperlink" xfId="4105" builtinId="9" hidden="1"/>
    <cellStyle name="Followed Hyperlink" xfId="4107" builtinId="9" hidden="1"/>
    <cellStyle name="Followed Hyperlink" xfId="4109" builtinId="9" hidden="1"/>
    <cellStyle name="Followed Hyperlink" xfId="4111" builtinId="9" hidden="1"/>
    <cellStyle name="Followed Hyperlink" xfId="4113" builtinId="9" hidden="1"/>
    <cellStyle name="Followed Hyperlink" xfId="4115" builtinId="9" hidden="1"/>
    <cellStyle name="Followed Hyperlink" xfId="4117" builtinId="9" hidden="1"/>
    <cellStyle name="Followed Hyperlink" xfId="4119" builtinId="9" hidden="1"/>
    <cellStyle name="Followed Hyperlink" xfId="4121" builtinId="9" hidden="1"/>
    <cellStyle name="Followed Hyperlink" xfId="4123" builtinId="9" hidden="1"/>
    <cellStyle name="Followed Hyperlink" xfId="4125" builtinId="9" hidden="1"/>
    <cellStyle name="Followed Hyperlink" xfId="4127" builtinId="9" hidden="1"/>
    <cellStyle name="Followed Hyperlink" xfId="4129" builtinId="9" hidden="1"/>
    <cellStyle name="Followed Hyperlink" xfId="4131" builtinId="9" hidden="1"/>
    <cellStyle name="Followed Hyperlink" xfId="4133" builtinId="9" hidden="1"/>
    <cellStyle name="Followed Hyperlink" xfId="4135" builtinId="9" hidden="1"/>
    <cellStyle name="Followed Hyperlink" xfId="4137" builtinId="9" hidden="1"/>
    <cellStyle name="Followed Hyperlink" xfId="4139" builtinId="9" hidden="1"/>
    <cellStyle name="Followed Hyperlink" xfId="4141" builtinId="9" hidden="1"/>
    <cellStyle name="Followed Hyperlink" xfId="4143" builtinId="9" hidden="1"/>
    <cellStyle name="Followed Hyperlink" xfId="4145" builtinId="9" hidden="1"/>
    <cellStyle name="Followed Hyperlink" xfId="4147" builtinId="9" hidden="1"/>
    <cellStyle name="Followed Hyperlink" xfId="4149" builtinId="9" hidden="1"/>
    <cellStyle name="Followed Hyperlink" xfId="4151" builtinId="9" hidden="1"/>
    <cellStyle name="Followed Hyperlink" xfId="4153" builtinId="9" hidden="1"/>
    <cellStyle name="Followed Hyperlink" xfId="4155" builtinId="9" hidden="1"/>
    <cellStyle name="Followed Hyperlink" xfId="4157" builtinId="9" hidden="1"/>
    <cellStyle name="Followed Hyperlink" xfId="4159" builtinId="9" hidden="1"/>
    <cellStyle name="Followed Hyperlink" xfId="4161" builtinId="9" hidden="1"/>
    <cellStyle name="Followed Hyperlink" xfId="4163" builtinId="9" hidden="1"/>
    <cellStyle name="Followed Hyperlink" xfId="4165" builtinId="9" hidden="1"/>
    <cellStyle name="Followed Hyperlink" xfId="4167" builtinId="9" hidden="1"/>
    <cellStyle name="Followed Hyperlink" xfId="4169" builtinId="9" hidden="1"/>
    <cellStyle name="Followed Hyperlink" xfId="4171" builtinId="9" hidden="1"/>
    <cellStyle name="Followed Hyperlink" xfId="4173" builtinId="9" hidden="1"/>
    <cellStyle name="Followed Hyperlink" xfId="4175" builtinId="9" hidden="1"/>
    <cellStyle name="Followed Hyperlink" xfId="4177" builtinId="9" hidden="1"/>
    <cellStyle name="Followed Hyperlink" xfId="4179" builtinId="9" hidden="1"/>
    <cellStyle name="Followed Hyperlink" xfId="4181" builtinId="9" hidden="1"/>
    <cellStyle name="Followed Hyperlink" xfId="4183" builtinId="9" hidden="1"/>
    <cellStyle name="Followed Hyperlink" xfId="4185" builtinId="9" hidden="1"/>
    <cellStyle name="Followed Hyperlink" xfId="4187" builtinId="9" hidden="1"/>
    <cellStyle name="Followed Hyperlink" xfId="4189" builtinId="9" hidden="1"/>
    <cellStyle name="Followed Hyperlink" xfId="4191" builtinId="9" hidden="1"/>
    <cellStyle name="Followed Hyperlink" xfId="4193" builtinId="9" hidden="1"/>
    <cellStyle name="Followed Hyperlink" xfId="4195" builtinId="9" hidden="1"/>
    <cellStyle name="Followed Hyperlink" xfId="4197" builtinId="9" hidden="1"/>
    <cellStyle name="Followed Hyperlink" xfId="4199" builtinId="9" hidden="1"/>
    <cellStyle name="Followed Hyperlink" xfId="4201" builtinId="9" hidden="1"/>
    <cellStyle name="Followed Hyperlink" xfId="4203" builtinId="9" hidden="1"/>
    <cellStyle name="Followed Hyperlink" xfId="4205" builtinId="9" hidden="1"/>
    <cellStyle name="Followed Hyperlink" xfId="4207" builtinId="9" hidden="1"/>
    <cellStyle name="Followed Hyperlink" xfId="4209" builtinId="9" hidden="1"/>
    <cellStyle name="Followed Hyperlink" xfId="4211" builtinId="9" hidden="1"/>
    <cellStyle name="Followed Hyperlink" xfId="4213" builtinId="9" hidden="1"/>
    <cellStyle name="Followed Hyperlink" xfId="4215" builtinId="9" hidden="1"/>
    <cellStyle name="Followed Hyperlink" xfId="4217" builtinId="9" hidden="1"/>
    <cellStyle name="Followed Hyperlink" xfId="4219" builtinId="9" hidden="1"/>
    <cellStyle name="Followed Hyperlink" xfId="4221" builtinId="9" hidden="1"/>
    <cellStyle name="Followed Hyperlink" xfId="4223" builtinId="9" hidden="1"/>
    <cellStyle name="Followed Hyperlink" xfId="4225" builtinId="9" hidden="1"/>
    <cellStyle name="Followed Hyperlink" xfId="4227" builtinId="9" hidden="1"/>
    <cellStyle name="Followed Hyperlink" xfId="4229" builtinId="9" hidden="1"/>
    <cellStyle name="Followed Hyperlink" xfId="4231" builtinId="9" hidden="1"/>
    <cellStyle name="Followed Hyperlink" xfId="4233" builtinId="9" hidden="1"/>
    <cellStyle name="Followed Hyperlink" xfId="4235" builtinId="9" hidden="1"/>
    <cellStyle name="Followed Hyperlink" xfId="4237" builtinId="9" hidden="1"/>
    <cellStyle name="Followed Hyperlink" xfId="4239" builtinId="9" hidden="1"/>
    <cellStyle name="Followed Hyperlink" xfId="4241" builtinId="9" hidden="1"/>
    <cellStyle name="Followed Hyperlink" xfId="4243" builtinId="9" hidden="1"/>
    <cellStyle name="Followed Hyperlink" xfId="4245" builtinId="9" hidden="1"/>
    <cellStyle name="Followed Hyperlink" xfId="4247" builtinId="9" hidden="1"/>
    <cellStyle name="Followed Hyperlink" xfId="4249" builtinId="9" hidden="1"/>
    <cellStyle name="Followed Hyperlink" xfId="4251" builtinId="9" hidden="1"/>
    <cellStyle name="Followed Hyperlink" xfId="4253" builtinId="9" hidden="1"/>
    <cellStyle name="Followed Hyperlink" xfId="4255" builtinId="9" hidden="1"/>
    <cellStyle name="Followed Hyperlink" xfId="4257" builtinId="9" hidden="1"/>
    <cellStyle name="Followed Hyperlink" xfId="4259" builtinId="9" hidden="1"/>
    <cellStyle name="Followed Hyperlink" xfId="4261" builtinId="9" hidden="1"/>
    <cellStyle name="Followed Hyperlink" xfId="4263" builtinId="9" hidden="1"/>
    <cellStyle name="Followed Hyperlink" xfId="4265" builtinId="9" hidden="1"/>
    <cellStyle name="Followed Hyperlink" xfId="4267" builtinId="9" hidden="1"/>
    <cellStyle name="Followed Hyperlink" xfId="4269" builtinId="9" hidden="1"/>
    <cellStyle name="Followed Hyperlink" xfId="4271" builtinId="9" hidden="1"/>
    <cellStyle name="Followed Hyperlink" xfId="4273" builtinId="9" hidden="1"/>
    <cellStyle name="Followed Hyperlink" xfId="4275" builtinId="9" hidden="1"/>
    <cellStyle name="Followed Hyperlink" xfId="4277" builtinId="9" hidden="1"/>
    <cellStyle name="Followed Hyperlink" xfId="4279" builtinId="9" hidden="1"/>
    <cellStyle name="Followed Hyperlink" xfId="4281" builtinId="9" hidden="1"/>
    <cellStyle name="Followed Hyperlink" xfId="4283" builtinId="9" hidden="1"/>
    <cellStyle name="Followed Hyperlink" xfId="4285" builtinId="9" hidden="1"/>
    <cellStyle name="Followed Hyperlink" xfId="4287" builtinId="9" hidden="1"/>
    <cellStyle name="Followed Hyperlink" xfId="4289" builtinId="9" hidden="1"/>
    <cellStyle name="Followed Hyperlink" xfId="4291" builtinId="9" hidden="1"/>
    <cellStyle name="Followed Hyperlink" xfId="4293" builtinId="9" hidden="1"/>
    <cellStyle name="Followed Hyperlink" xfId="4295" builtinId="9" hidden="1"/>
    <cellStyle name="Followed Hyperlink" xfId="4297" builtinId="9" hidden="1"/>
    <cellStyle name="Followed Hyperlink" xfId="4299" builtinId="9" hidden="1"/>
    <cellStyle name="Followed Hyperlink" xfId="4301" builtinId="9" hidden="1"/>
    <cellStyle name="Followed Hyperlink" xfId="4303" builtinId="9" hidden="1"/>
    <cellStyle name="Followed Hyperlink" xfId="4305" builtinId="9" hidden="1"/>
    <cellStyle name="Followed Hyperlink" xfId="4307" builtinId="9" hidden="1"/>
    <cellStyle name="Followed Hyperlink" xfId="4309" builtinId="9" hidden="1"/>
    <cellStyle name="Followed Hyperlink" xfId="4311" builtinId="9" hidden="1"/>
    <cellStyle name="Followed Hyperlink" xfId="4313" builtinId="9" hidden="1"/>
    <cellStyle name="Followed Hyperlink" xfId="4315" builtinId="9" hidden="1"/>
    <cellStyle name="Followed Hyperlink" xfId="4317" builtinId="9" hidden="1"/>
    <cellStyle name="Followed Hyperlink" xfId="4319" builtinId="9" hidden="1"/>
    <cellStyle name="Followed Hyperlink" xfId="4321" builtinId="9" hidden="1"/>
    <cellStyle name="Followed Hyperlink" xfId="4323" builtinId="9" hidden="1"/>
    <cellStyle name="Followed Hyperlink" xfId="4325" builtinId="9" hidden="1"/>
    <cellStyle name="Followed Hyperlink" xfId="4327" builtinId="9" hidden="1"/>
    <cellStyle name="Followed Hyperlink" xfId="4329" builtinId="9" hidden="1"/>
    <cellStyle name="Followed Hyperlink" xfId="4331" builtinId="9" hidden="1"/>
    <cellStyle name="Followed Hyperlink" xfId="4333" builtinId="9" hidden="1"/>
    <cellStyle name="Followed Hyperlink" xfId="4335" builtinId="9" hidden="1"/>
    <cellStyle name="Followed Hyperlink" xfId="4337" builtinId="9" hidden="1"/>
    <cellStyle name="Followed Hyperlink" xfId="4339" builtinId="9" hidden="1"/>
    <cellStyle name="Followed Hyperlink" xfId="4341" builtinId="9" hidden="1"/>
    <cellStyle name="Followed Hyperlink" xfId="4343" builtinId="9" hidden="1"/>
    <cellStyle name="Followed Hyperlink" xfId="4345" builtinId="9" hidden="1"/>
    <cellStyle name="Followed Hyperlink" xfId="4347" builtinId="9" hidden="1"/>
    <cellStyle name="Followed Hyperlink" xfId="4349" builtinId="9" hidden="1"/>
    <cellStyle name="Followed Hyperlink" xfId="4351" builtinId="9" hidden="1"/>
    <cellStyle name="Followed Hyperlink" xfId="4353" builtinId="9" hidden="1"/>
    <cellStyle name="Followed Hyperlink" xfId="4355" builtinId="9" hidden="1"/>
    <cellStyle name="Followed Hyperlink" xfId="4357" builtinId="9" hidden="1"/>
    <cellStyle name="Followed Hyperlink" xfId="4359" builtinId="9" hidden="1"/>
    <cellStyle name="Followed Hyperlink" xfId="4361" builtinId="9" hidden="1"/>
    <cellStyle name="Followed Hyperlink" xfId="4363" builtinId="9" hidden="1"/>
    <cellStyle name="Followed Hyperlink" xfId="4365" builtinId="9" hidden="1"/>
    <cellStyle name="Followed Hyperlink" xfId="4367" builtinId="9" hidden="1"/>
    <cellStyle name="Followed Hyperlink" xfId="4369" builtinId="9" hidden="1"/>
    <cellStyle name="Followed Hyperlink" xfId="4371" builtinId="9" hidden="1"/>
    <cellStyle name="Followed Hyperlink" xfId="4373" builtinId="9" hidden="1"/>
    <cellStyle name="Followed Hyperlink" xfId="4375" builtinId="9" hidden="1"/>
    <cellStyle name="Followed Hyperlink" xfId="4377" builtinId="9" hidden="1"/>
    <cellStyle name="Followed Hyperlink" xfId="4379" builtinId="9" hidden="1"/>
    <cellStyle name="Followed Hyperlink" xfId="4381" builtinId="9" hidden="1"/>
    <cellStyle name="Followed Hyperlink" xfId="4383" builtinId="9" hidden="1"/>
    <cellStyle name="Followed Hyperlink" xfId="4385" builtinId="9" hidden="1"/>
    <cellStyle name="Followed Hyperlink" xfId="4387" builtinId="9" hidden="1"/>
    <cellStyle name="Followed Hyperlink" xfId="4389" builtinId="9" hidden="1"/>
    <cellStyle name="Followed Hyperlink" xfId="4391" builtinId="9" hidden="1"/>
    <cellStyle name="Followed Hyperlink" xfId="4393" builtinId="9" hidden="1"/>
    <cellStyle name="Followed Hyperlink" xfId="4395" builtinId="9" hidden="1"/>
    <cellStyle name="Followed Hyperlink" xfId="4397" builtinId="9" hidden="1"/>
    <cellStyle name="Followed Hyperlink" xfId="4399" builtinId="9" hidden="1"/>
    <cellStyle name="Followed Hyperlink" xfId="4401" builtinId="9" hidden="1"/>
    <cellStyle name="Followed Hyperlink" xfId="4403" builtinId="9" hidden="1"/>
    <cellStyle name="Followed Hyperlink" xfId="4405" builtinId="9" hidden="1"/>
    <cellStyle name="Followed Hyperlink" xfId="4407" builtinId="9" hidden="1"/>
    <cellStyle name="Followed Hyperlink" xfId="4409" builtinId="9" hidden="1"/>
    <cellStyle name="Followed Hyperlink" xfId="4411" builtinId="9" hidden="1"/>
    <cellStyle name="Followed Hyperlink" xfId="4413" builtinId="9" hidden="1"/>
    <cellStyle name="Followed Hyperlink" xfId="4415" builtinId="9" hidden="1"/>
    <cellStyle name="Followed Hyperlink" xfId="4417" builtinId="9" hidden="1"/>
    <cellStyle name="Followed Hyperlink" xfId="4419" builtinId="9" hidden="1"/>
    <cellStyle name="Followed Hyperlink" xfId="4421" builtinId="9" hidden="1"/>
    <cellStyle name="Followed Hyperlink" xfId="4423" builtinId="9" hidden="1"/>
    <cellStyle name="Followed Hyperlink" xfId="4425" builtinId="9" hidden="1"/>
    <cellStyle name="Followed Hyperlink" xfId="4427" builtinId="9" hidden="1"/>
    <cellStyle name="Followed Hyperlink" xfId="4429" builtinId="9" hidden="1"/>
    <cellStyle name="Followed Hyperlink" xfId="4431" builtinId="9" hidden="1"/>
    <cellStyle name="Followed Hyperlink" xfId="4433" builtinId="9" hidden="1"/>
    <cellStyle name="Followed Hyperlink" xfId="4435" builtinId="9" hidden="1"/>
    <cellStyle name="Followed Hyperlink" xfId="4437" builtinId="9" hidden="1"/>
    <cellStyle name="Followed Hyperlink" xfId="4439" builtinId="9" hidden="1"/>
    <cellStyle name="Followed Hyperlink" xfId="4441" builtinId="9" hidden="1"/>
    <cellStyle name="Followed Hyperlink" xfId="4443" builtinId="9" hidden="1"/>
    <cellStyle name="Followed Hyperlink" xfId="4445" builtinId="9" hidden="1"/>
    <cellStyle name="Followed Hyperlink" xfId="4447" builtinId="9" hidden="1"/>
    <cellStyle name="Followed Hyperlink" xfId="4449" builtinId="9" hidden="1"/>
    <cellStyle name="Followed Hyperlink" xfId="4451" builtinId="9" hidden="1"/>
    <cellStyle name="Followed Hyperlink" xfId="4453" builtinId="9" hidden="1"/>
    <cellStyle name="Followed Hyperlink" xfId="4455" builtinId="9" hidden="1"/>
    <cellStyle name="Followed Hyperlink" xfId="4457" builtinId="9" hidden="1"/>
    <cellStyle name="Followed Hyperlink" xfId="4459" builtinId="9" hidden="1"/>
    <cellStyle name="Followed Hyperlink" xfId="4461" builtinId="9" hidden="1"/>
    <cellStyle name="Followed Hyperlink" xfId="4463" builtinId="9" hidden="1"/>
    <cellStyle name="Followed Hyperlink" xfId="4465" builtinId="9" hidden="1"/>
    <cellStyle name="Followed Hyperlink" xfId="4467" builtinId="9" hidden="1"/>
    <cellStyle name="Followed Hyperlink" xfId="4469" builtinId="9" hidden="1"/>
    <cellStyle name="Followed Hyperlink" xfId="4471" builtinId="9" hidden="1"/>
    <cellStyle name="Followed Hyperlink" xfId="4473" builtinId="9" hidden="1"/>
    <cellStyle name="Followed Hyperlink" xfId="4475" builtinId="9" hidden="1"/>
    <cellStyle name="Followed Hyperlink" xfId="4477" builtinId="9" hidden="1"/>
    <cellStyle name="Followed Hyperlink" xfId="4479" builtinId="9" hidden="1"/>
    <cellStyle name="Followed Hyperlink" xfId="4481" builtinId="9" hidden="1"/>
    <cellStyle name="Followed Hyperlink" xfId="4483" builtinId="9" hidden="1"/>
    <cellStyle name="Followed Hyperlink" xfId="4485" builtinId="9" hidden="1"/>
    <cellStyle name="Followed Hyperlink" xfId="4487" builtinId="9" hidden="1"/>
    <cellStyle name="Followed Hyperlink" xfId="4489" builtinId="9" hidden="1"/>
    <cellStyle name="Followed Hyperlink" xfId="4491" builtinId="9" hidden="1"/>
    <cellStyle name="Followed Hyperlink" xfId="4493" builtinId="9" hidden="1"/>
    <cellStyle name="Followed Hyperlink" xfId="4495" builtinId="9" hidden="1"/>
    <cellStyle name="Followed Hyperlink" xfId="4497" builtinId="9" hidden="1"/>
    <cellStyle name="Followed Hyperlink" xfId="4499" builtinId="9" hidden="1"/>
    <cellStyle name="Followed Hyperlink" xfId="4501" builtinId="9" hidden="1"/>
    <cellStyle name="Followed Hyperlink" xfId="4503" builtinId="9" hidden="1"/>
    <cellStyle name="Followed Hyperlink" xfId="4505" builtinId="9" hidden="1"/>
    <cellStyle name="Followed Hyperlink" xfId="4507" builtinId="9" hidden="1"/>
    <cellStyle name="Followed Hyperlink" xfId="4509" builtinId="9" hidden="1"/>
    <cellStyle name="Followed Hyperlink" xfId="4511" builtinId="9" hidden="1"/>
    <cellStyle name="Followed Hyperlink" xfId="4513" builtinId="9" hidden="1"/>
    <cellStyle name="Followed Hyperlink" xfId="4515" builtinId="9" hidden="1"/>
    <cellStyle name="Followed Hyperlink" xfId="4517" builtinId="9" hidden="1"/>
    <cellStyle name="Followed Hyperlink" xfId="4519" builtinId="9" hidden="1"/>
    <cellStyle name="Followed Hyperlink" xfId="4521" builtinId="9" hidden="1"/>
    <cellStyle name="Followed Hyperlink" xfId="4523" builtinId="9" hidden="1"/>
    <cellStyle name="Followed Hyperlink" xfId="4525" builtinId="9" hidden="1"/>
    <cellStyle name="Followed Hyperlink" xfId="4527" builtinId="9" hidden="1"/>
    <cellStyle name="Followed Hyperlink" xfId="4529" builtinId="9" hidden="1"/>
    <cellStyle name="Followed Hyperlink" xfId="4531" builtinId="9" hidden="1"/>
    <cellStyle name="Followed Hyperlink" xfId="4533" builtinId="9" hidden="1"/>
    <cellStyle name="Followed Hyperlink" xfId="4535" builtinId="9" hidden="1"/>
    <cellStyle name="Followed Hyperlink" xfId="4537" builtinId="9" hidden="1"/>
    <cellStyle name="Followed Hyperlink" xfId="4539" builtinId="9" hidden="1"/>
    <cellStyle name="Followed Hyperlink" xfId="4541" builtinId="9" hidden="1"/>
    <cellStyle name="Followed Hyperlink" xfId="4543" builtinId="9" hidden="1"/>
    <cellStyle name="Followed Hyperlink" xfId="4545" builtinId="9" hidden="1"/>
    <cellStyle name="Followed Hyperlink" xfId="4547" builtinId="9" hidden="1"/>
    <cellStyle name="Followed Hyperlink" xfId="4549" builtinId="9" hidden="1"/>
    <cellStyle name="Followed Hyperlink" xfId="4551" builtinId="9" hidden="1"/>
    <cellStyle name="Followed Hyperlink" xfId="4553" builtinId="9" hidden="1"/>
    <cellStyle name="Followed Hyperlink" xfId="4555" builtinId="9" hidden="1"/>
    <cellStyle name="Followed Hyperlink" xfId="4557" builtinId="9" hidden="1"/>
    <cellStyle name="Followed Hyperlink" xfId="4559" builtinId="9" hidden="1"/>
    <cellStyle name="Followed Hyperlink" xfId="4561" builtinId="9" hidden="1"/>
    <cellStyle name="Followed Hyperlink" xfId="4563" builtinId="9" hidden="1"/>
    <cellStyle name="Followed Hyperlink" xfId="4565" builtinId="9" hidden="1"/>
    <cellStyle name="Followed Hyperlink" xfId="4567" builtinId="9" hidden="1"/>
    <cellStyle name="Followed Hyperlink" xfId="4569" builtinId="9" hidden="1"/>
    <cellStyle name="Followed Hyperlink" xfId="4571" builtinId="9" hidden="1"/>
    <cellStyle name="Followed Hyperlink" xfId="4573" builtinId="9" hidden="1"/>
    <cellStyle name="Followed Hyperlink" xfId="4575" builtinId="9" hidden="1"/>
    <cellStyle name="Followed Hyperlink" xfId="4577" builtinId="9" hidden="1"/>
    <cellStyle name="Followed Hyperlink" xfId="4579" builtinId="9" hidden="1"/>
    <cellStyle name="Followed Hyperlink" xfId="4581" builtinId="9" hidden="1"/>
    <cellStyle name="Followed Hyperlink" xfId="4583" builtinId="9" hidden="1"/>
    <cellStyle name="Followed Hyperlink" xfId="4585" builtinId="9" hidden="1"/>
    <cellStyle name="Followed Hyperlink" xfId="4587" builtinId="9" hidden="1"/>
    <cellStyle name="Followed Hyperlink" xfId="4589" builtinId="9" hidden="1"/>
    <cellStyle name="Followed Hyperlink" xfId="4591" builtinId="9" hidden="1"/>
    <cellStyle name="Followed Hyperlink" xfId="4593" builtinId="9" hidden="1"/>
    <cellStyle name="Followed Hyperlink" xfId="4595" builtinId="9" hidden="1"/>
    <cellStyle name="Followed Hyperlink" xfId="4597" builtinId="9" hidden="1"/>
    <cellStyle name="Followed Hyperlink" xfId="4599" builtinId="9" hidden="1"/>
    <cellStyle name="Followed Hyperlink" xfId="4601" builtinId="9" hidden="1"/>
    <cellStyle name="Followed Hyperlink" xfId="4603" builtinId="9" hidden="1"/>
    <cellStyle name="Followed Hyperlink" xfId="4605" builtinId="9" hidden="1"/>
    <cellStyle name="Followed Hyperlink" xfId="4607" builtinId="9" hidden="1"/>
    <cellStyle name="Followed Hyperlink" xfId="4609" builtinId="9" hidden="1"/>
    <cellStyle name="Followed Hyperlink" xfId="4611" builtinId="9" hidden="1"/>
    <cellStyle name="Followed Hyperlink" xfId="4613" builtinId="9" hidden="1"/>
    <cellStyle name="Followed Hyperlink" xfId="4615" builtinId="9" hidden="1"/>
    <cellStyle name="Followed Hyperlink" xfId="4617" builtinId="9" hidden="1"/>
    <cellStyle name="Followed Hyperlink" xfId="4619" builtinId="9" hidden="1"/>
    <cellStyle name="Followed Hyperlink" xfId="4621" builtinId="9" hidden="1"/>
    <cellStyle name="Followed Hyperlink" xfId="4623" builtinId="9" hidden="1"/>
    <cellStyle name="Followed Hyperlink" xfId="4625" builtinId="9" hidden="1"/>
    <cellStyle name="Followed Hyperlink" xfId="4627" builtinId="9" hidden="1"/>
    <cellStyle name="Followed Hyperlink" xfId="4629" builtinId="9" hidden="1"/>
    <cellStyle name="Followed Hyperlink" xfId="4631" builtinId="9" hidden="1"/>
    <cellStyle name="Followed Hyperlink" xfId="4633" builtinId="9" hidden="1"/>
    <cellStyle name="Followed Hyperlink" xfId="4635" builtinId="9" hidden="1"/>
    <cellStyle name="Followed Hyperlink" xfId="4637" builtinId="9" hidden="1"/>
    <cellStyle name="Followed Hyperlink" xfId="4639" builtinId="9" hidden="1"/>
    <cellStyle name="Followed Hyperlink" xfId="4641" builtinId="9" hidden="1"/>
    <cellStyle name="Followed Hyperlink" xfId="4643" builtinId="9" hidden="1"/>
    <cellStyle name="Followed Hyperlink" xfId="4645" builtinId="9" hidden="1"/>
    <cellStyle name="Followed Hyperlink" xfId="4647" builtinId="9" hidden="1"/>
    <cellStyle name="Followed Hyperlink" xfId="4649" builtinId="9" hidden="1"/>
    <cellStyle name="Followed Hyperlink" xfId="4651" builtinId="9" hidden="1"/>
    <cellStyle name="Followed Hyperlink" xfId="4653" builtinId="9" hidden="1"/>
    <cellStyle name="Followed Hyperlink" xfId="4655" builtinId="9" hidden="1"/>
    <cellStyle name="Followed Hyperlink" xfId="4657" builtinId="9" hidden="1"/>
    <cellStyle name="Followed Hyperlink" xfId="4659" builtinId="9" hidden="1"/>
    <cellStyle name="Followed Hyperlink" xfId="4661" builtinId="9" hidden="1"/>
    <cellStyle name="Followed Hyperlink" xfId="4663" builtinId="9" hidden="1"/>
    <cellStyle name="Followed Hyperlink" xfId="4665" builtinId="9" hidden="1"/>
    <cellStyle name="Followed Hyperlink" xfId="4667" builtinId="9" hidden="1"/>
    <cellStyle name="Followed Hyperlink" xfId="4669" builtinId="9" hidden="1"/>
    <cellStyle name="Followed Hyperlink" xfId="4671" builtinId="9" hidden="1"/>
    <cellStyle name="Followed Hyperlink" xfId="4673" builtinId="9" hidden="1"/>
    <cellStyle name="Followed Hyperlink" xfId="4675" builtinId="9" hidden="1"/>
    <cellStyle name="Followed Hyperlink" xfId="4677" builtinId="9" hidden="1"/>
    <cellStyle name="Followed Hyperlink" xfId="4679" builtinId="9" hidden="1"/>
    <cellStyle name="Followed Hyperlink" xfId="4681" builtinId="9" hidden="1"/>
    <cellStyle name="Followed Hyperlink" xfId="4683" builtinId="9" hidden="1"/>
    <cellStyle name="Followed Hyperlink" xfId="4685" builtinId="9" hidden="1"/>
    <cellStyle name="Followed Hyperlink" xfId="4687" builtinId="9" hidden="1"/>
    <cellStyle name="Followed Hyperlink" xfId="4689" builtinId="9" hidden="1"/>
    <cellStyle name="Followed Hyperlink" xfId="4691" builtinId="9" hidden="1"/>
    <cellStyle name="Followed Hyperlink" xfId="4693" builtinId="9" hidden="1"/>
    <cellStyle name="Followed Hyperlink" xfId="4695" builtinId="9" hidden="1"/>
    <cellStyle name="Followed Hyperlink" xfId="4697" builtinId="9" hidden="1"/>
    <cellStyle name="Followed Hyperlink" xfId="4699" builtinId="9" hidden="1"/>
    <cellStyle name="Followed Hyperlink" xfId="4701" builtinId="9" hidden="1"/>
    <cellStyle name="Followed Hyperlink" xfId="4703" builtinId="9" hidden="1"/>
    <cellStyle name="Followed Hyperlink" xfId="4705" builtinId="9" hidden="1"/>
    <cellStyle name="Followed Hyperlink" xfId="4707" builtinId="9" hidden="1"/>
    <cellStyle name="Followed Hyperlink" xfId="4709" builtinId="9" hidden="1"/>
    <cellStyle name="Followed Hyperlink" xfId="4711" builtinId="9" hidden="1"/>
    <cellStyle name="Followed Hyperlink" xfId="4713" builtinId="9" hidden="1"/>
    <cellStyle name="Followed Hyperlink" xfId="4715" builtinId="9" hidden="1"/>
    <cellStyle name="Followed Hyperlink" xfId="4717" builtinId="9" hidden="1"/>
    <cellStyle name="Followed Hyperlink" xfId="4719" builtinId="9" hidden="1"/>
    <cellStyle name="Followed Hyperlink" xfId="4721" builtinId="9" hidden="1"/>
    <cellStyle name="Followed Hyperlink" xfId="4723" builtinId="9" hidden="1"/>
    <cellStyle name="Followed Hyperlink" xfId="4725" builtinId="9" hidden="1"/>
    <cellStyle name="Followed Hyperlink" xfId="4727" builtinId="9" hidden="1"/>
    <cellStyle name="Followed Hyperlink" xfId="4729" builtinId="9" hidden="1"/>
    <cellStyle name="Followed Hyperlink" xfId="4731" builtinId="9" hidden="1"/>
    <cellStyle name="Followed Hyperlink" xfId="4733" builtinId="9" hidden="1"/>
    <cellStyle name="Followed Hyperlink" xfId="4735" builtinId="9" hidden="1"/>
    <cellStyle name="Followed Hyperlink" xfId="4737" builtinId="9" hidden="1"/>
    <cellStyle name="Followed Hyperlink" xfId="4739" builtinId="9" hidden="1"/>
    <cellStyle name="Followed Hyperlink" xfId="4741" builtinId="9" hidden="1"/>
    <cellStyle name="Followed Hyperlink" xfId="4743" builtinId="9" hidden="1"/>
    <cellStyle name="Followed Hyperlink" xfId="4745" builtinId="9" hidden="1"/>
    <cellStyle name="Followed Hyperlink" xfId="4747" builtinId="9" hidden="1"/>
    <cellStyle name="Followed Hyperlink" xfId="4749" builtinId="9" hidden="1"/>
    <cellStyle name="Followed Hyperlink" xfId="4751" builtinId="9" hidden="1"/>
    <cellStyle name="Followed Hyperlink" xfId="4753" builtinId="9" hidden="1"/>
    <cellStyle name="Followed Hyperlink" xfId="4755" builtinId="9" hidden="1"/>
    <cellStyle name="Followed Hyperlink" xfId="4757" builtinId="9" hidden="1"/>
    <cellStyle name="Followed Hyperlink" xfId="4759" builtinId="9" hidden="1"/>
    <cellStyle name="Followed Hyperlink" xfId="4761" builtinId="9" hidden="1"/>
    <cellStyle name="Followed Hyperlink" xfId="4763" builtinId="9" hidden="1"/>
    <cellStyle name="Followed Hyperlink" xfId="4765" builtinId="9" hidden="1"/>
    <cellStyle name="Followed Hyperlink" xfId="4767" builtinId="9" hidden="1"/>
    <cellStyle name="Followed Hyperlink" xfId="4769" builtinId="9" hidden="1"/>
    <cellStyle name="Followed Hyperlink" xfId="4771" builtinId="9" hidden="1"/>
    <cellStyle name="Followed Hyperlink" xfId="4773" builtinId="9" hidden="1"/>
    <cellStyle name="Followed Hyperlink" xfId="4775" builtinId="9" hidden="1"/>
    <cellStyle name="Followed Hyperlink" xfId="4777" builtinId="9" hidden="1"/>
    <cellStyle name="Followed Hyperlink" xfId="4779" builtinId="9" hidden="1"/>
    <cellStyle name="Followed Hyperlink" xfId="4781" builtinId="9" hidden="1"/>
    <cellStyle name="Followed Hyperlink" xfId="4783" builtinId="9" hidden="1"/>
    <cellStyle name="Followed Hyperlink" xfId="4785" builtinId="9" hidden="1"/>
    <cellStyle name="Followed Hyperlink" xfId="4787" builtinId="9" hidden="1"/>
    <cellStyle name="Followed Hyperlink" xfId="4789" builtinId="9" hidden="1"/>
    <cellStyle name="Followed Hyperlink" xfId="4791" builtinId="9" hidden="1"/>
    <cellStyle name="Followed Hyperlink" xfId="4793" builtinId="9" hidden="1"/>
    <cellStyle name="Followed Hyperlink" xfId="4795" builtinId="9" hidden="1"/>
    <cellStyle name="Followed Hyperlink" xfId="4797" builtinId="9" hidden="1"/>
    <cellStyle name="Followed Hyperlink" xfId="4799" builtinId="9" hidden="1"/>
    <cellStyle name="Followed Hyperlink" xfId="4801" builtinId="9" hidden="1"/>
    <cellStyle name="Followed Hyperlink" xfId="4803" builtinId="9" hidden="1"/>
    <cellStyle name="Followed Hyperlink" xfId="4805" builtinId="9" hidden="1"/>
    <cellStyle name="Followed Hyperlink" xfId="4807" builtinId="9" hidden="1"/>
    <cellStyle name="Followed Hyperlink" xfId="4809" builtinId="9" hidden="1"/>
    <cellStyle name="Followed Hyperlink" xfId="4811" builtinId="9" hidden="1"/>
    <cellStyle name="Followed Hyperlink" xfId="4813" builtinId="9" hidden="1"/>
    <cellStyle name="Followed Hyperlink" xfId="4815" builtinId="9" hidden="1"/>
    <cellStyle name="Followed Hyperlink" xfId="4817" builtinId="9" hidden="1"/>
    <cellStyle name="Followed Hyperlink" xfId="4819" builtinId="9" hidden="1"/>
    <cellStyle name="Followed Hyperlink" xfId="4821" builtinId="9" hidden="1"/>
    <cellStyle name="Followed Hyperlink" xfId="4823" builtinId="9" hidden="1"/>
    <cellStyle name="Followed Hyperlink" xfId="4825" builtinId="9" hidden="1"/>
    <cellStyle name="Followed Hyperlink" xfId="4827" builtinId="9" hidden="1"/>
    <cellStyle name="Followed Hyperlink" xfId="4829" builtinId="9" hidden="1"/>
    <cellStyle name="Followed Hyperlink" xfId="4831" builtinId="9" hidden="1"/>
    <cellStyle name="Followed Hyperlink" xfId="4833" builtinId="9" hidden="1"/>
    <cellStyle name="Followed Hyperlink" xfId="4835" builtinId="9" hidden="1"/>
    <cellStyle name="Followed Hyperlink" xfId="4837" builtinId="9" hidden="1"/>
    <cellStyle name="Followed Hyperlink" xfId="4839" builtinId="9" hidden="1"/>
    <cellStyle name="Followed Hyperlink" xfId="4841" builtinId="9" hidden="1"/>
    <cellStyle name="Followed Hyperlink" xfId="4843" builtinId="9" hidden="1"/>
    <cellStyle name="Followed Hyperlink" xfId="4845" builtinId="9" hidden="1"/>
    <cellStyle name="Followed Hyperlink" xfId="4847" builtinId="9" hidden="1"/>
    <cellStyle name="Followed Hyperlink" xfId="4849" builtinId="9" hidden="1"/>
    <cellStyle name="Followed Hyperlink" xfId="4851" builtinId="9" hidden="1"/>
    <cellStyle name="Followed Hyperlink" xfId="4853" builtinId="9" hidden="1"/>
    <cellStyle name="Followed Hyperlink" xfId="4855" builtinId="9" hidden="1"/>
    <cellStyle name="Followed Hyperlink" xfId="4857" builtinId="9" hidden="1"/>
    <cellStyle name="Followed Hyperlink" xfId="4859" builtinId="9" hidden="1"/>
    <cellStyle name="Followed Hyperlink" xfId="4861" builtinId="9" hidden="1"/>
    <cellStyle name="Followed Hyperlink" xfId="4863" builtinId="9" hidden="1"/>
    <cellStyle name="Followed Hyperlink" xfId="4865" builtinId="9" hidden="1"/>
    <cellStyle name="Followed Hyperlink" xfId="4867" builtinId="9" hidden="1"/>
    <cellStyle name="Followed Hyperlink" xfId="4869" builtinId="9" hidden="1"/>
    <cellStyle name="Followed Hyperlink" xfId="4871" builtinId="9" hidden="1"/>
    <cellStyle name="Followed Hyperlink" xfId="4873" builtinId="9" hidden="1"/>
    <cellStyle name="Followed Hyperlink" xfId="4875" builtinId="9" hidden="1"/>
    <cellStyle name="Followed Hyperlink" xfId="4877" builtinId="9" hidden="1"/>
    <cellStyle name="Followed Hyperlink" xfId="4879" builtinId="9" hidden="1"/>
    <cellStyle name="Followed Hyperlink" xfId="4881" builtinId="9" hidden="1"/>
    <cellStyle name="Followed Hyperlink" xfId="4883" builtinId="9" hidden="1"/>
    <cellStyle name="Followed Hyperlink" xfId="4885" builtinId="9" hidden="1"/>
    <cellStyle name="Followed Hyperlink" xfId="4887" builtinId="9" hidden="1"/>
    <cellStyle name="Followed Hyperlink" xfId="4889" builtinId="9" hidden="1"/>
    <cellStyle name="Followed Hyperlink" xfId="4891" builtinId="9" hidden="1"/>
    <cellStyle name="Followed Hyperlink" xfId="4893" builtinId="9" hidden="1"/>
    <cellStyle name="Followed Hyperlink" xfId="4895" builtinId="9" hidden="1"/>
    <cellStyle name="Followed Hyperlink" xfId="4897" builtinId="9" hidden="1"/>
    <cellStyle name="Followed Hyperlink" xfId="4899" builtinId="9" hidden="1"/>
    <cellStyle name="Followed Hyperlink" xfId="4901" builtinId="9" hidden="1"/>
    <cellStyle name="Followed Hyperlink" xfId="4903" builtinId="9" hidden="1"/>
    <cellStyle name="Followed Hyperlink" xfId="4905" builtinId="9" hidden="1"/>
    <cellStyle name="Followed Hyperlink" xfId="4907" builtinId="9" hidden="1"/>
    <cellStyle name="Followed Hyperlink" xfId="4909" builtinId="9" hidden="1"/>
    <cellStyle name="Followed Hyperlink" xfId="4911" builtinId="9" hidden="1"/>
    <cellStyle name="Followed Hyperlink" xfId="4913" builtinId="9" hidden="1"/>
    <cellStyle name="Followed Hyperlink" xfId="4915" builtinId="9" hidden="1"/>
    <cellStyle name="Followed Hyperlink" xfId="4917" builtinId="9" hidden="1"/>
    <cellStyle name="Followed Hyperlink" xfId="4919" builtinId="9" hidden="1"/>
    <cellStyle name="Followed Hyperlink" xfId="4921" builtinId="9" hidden="1"/>
    <cellStyle name="Followed Hyperlink" xfId="4923" builtinId="9" hidden="1"/>
    <cellStyle name="Followed Hyperlink" xfId="4925" builtinId="9" hidden="1"/>
    <cellStyle name="Followed Hyperlink" xfId="4927" builtinId="9" hidden="1"/>
    <cellStyle name="Followed Hyperlink" xfId="4929" builtinId="9" hidden="1"/>
    <cellStyle name="Followed Hyperlink" xfId="4931" builtinId="9" hidden="1"/>
    <cellStyle name="Followed Hyperlink" xfId="4933" builtinId="9" hidden="1"/>
    <cellStyle name="Followed Hyperlink" xfId="4935" builtinId="9" hidden="1"/>
    <cellStyle name="Followed Hyperlink" xfId="4937" builtinId="9" hidden="1"/>
    <cellStyle name="Followed Hyperlink" xfId="4939" builtinId="9" hidden="1"/>
    <cellStyle name="Followed Hyperlink" xfId="4941" builtinId="9" hidden="1"/>
    <cellStyle name="Followed Hyperlink" xfId="4943" builtinId="9" hidden="1"/>
    <cellStyle name="Followed Hyperlink" xfId="4945" builtinId="9" hidden="1"/>
    <cellStyle name="Followed Hyperlink" xfId="4947" builtinId="9" hidden="1"/>
    <cellStyle name="Followed Hyperlink" xfId="4949" builtinId="9" hidden="1"/>
    <cellStyle name="Followed Hyperlink" xfId="4951" builtinId="9" hidden="1"/>
    <cellStyle name="Followed Hyperlink" xfId="4953" builtinId="9" hidden="1"/>
    <cellStyle name="Followed Hyperlink" xfId="4955" builtinId="9" hidden="1"/>
    <cellStyle name="Followed Hyperlink" xfId="4957" builtinId="9" hidden="1"/>
    <cellStyle name="Followed Hyperlink" xfId="4959" builtinId="9" hidden="1"/>
    <cellStyle name="Followed Hyperlink" xfId="4961" builtinId="9" hidden="1"/>
    <cellStyle name="Followed Hyperlink" xfId="4963" builtinId="9" hidden="1"/>
    <cellStyle name="Followed Hyperlink" xfId="4965" builtinId="9" hidden="1"/>
    <cellStyle name="Followed Hyperlink" xfId="4967" builtinId="9" hidden="1"/>
    <cellStyle name="Followed Hyperlink" xfId="4969" builtinId="9" hidden="1"/>
    <cellStyle name="Followed Hyperlink" xfId="4971" builtinId="9" hidden="1"/>
    <cellStyle name="Followed Hyperlink" xfId="4973" builtinId="9" hidden="1"/>
    <cellStyle name="Followed Hyperlink" xfId="4975" builtinId="9" hidden="1"/>
    <cellStyle name="Followed Hyperlink" xfId="4977" builtinId="9" hidden="1"/>
    <cellStyle name="Followed Hyperlink" xfId="4979" builtinId="9" hidden="1"/>
    <cellStyle name="Followed Hyperlink" xfId="4981" builtinId="9" hidden="1"/>
    <cellStyle name="Followed Hyperlink" xfId="4983" builtinId="9" hidden="1"/>
    <cellStyle name="Followed Hyperlink" xfId="4985" builtinId="9" hidden="1"/>
    <cellStyle name="Followed Hyperlink" xfId="4987" builtinId="9" hidden="1"/>
    <cellStyle name="Followed Hyperlink" xfId="4989" builtinId="9" hidden="1"/>
    <cellStyle name="Followed Hyperlink" xfId="4991" builtinId="9" hidden="1"/>
    <cellStyle name="Followed Hyperlink" xfId="4993" builtinId="9" hidden="1"/>
    <cellStyle name="Followed Hyperlink" xfId="4995" builtinId="9" hidden="1"/>
    <cellStyle name="Followed Hyperlink" xfId="4997" builtinId="9" hidden="1"/>
    <cellStyle name="Followed Hyperlink" xfId="4999" builtinId="9" hidden="1"/>
    <cellStyle name="Followed Hyperlink" xfId="5001" builtinId="9" hidden="1"/>
    <cellStyle name="Followed Hyperlink" xfId="5003" builtinId="9" hidden="1"/>
    <cellStyle name="Followed Hyperlink" xfId="5005" builtinId="9" hidden="1"/>
    <cellStyle name="Followed Hyperlink" xfId="5007" builtinId="9" hidden="1"/>
    <cellStyle name="Followed Hyperlink" xfId="5009" builtinId="9" hidden="1"/>
    <cellStyle name="Followed Hyperlink" xfId="5011" builtinId="9" hidden="1"/>
    <cellStyle name="Followed Hyperlink" xfId="5013" builtinId="9" hidden="1"/>
    <cellStyle name="Followed Hyperlink" xfId="5015" builtinId="9" hidden="1"/>
    <cellStyle name="Followed Hyperlink" xfId="5017" builtinId="9" hidden="1"/>
    <cellStyle name="Followed Hyperlink" xfId="5019" builtinId="9" hidden="1"/>
    <cellStyle name="Followed Hyperlink" xfId="5021" builtinId="9" hidden="1"/>
    <cellStyle name="Followed Hyperlink" xfId="5023" builtinId="9" hidden="1"/>
    <cellStyle name="Followed Hyperlink" xfId="5025" builtinId="9" hidden="1"/>
    <cellStyle name="Followed Hyperlink" xfId="5027" builtinId="9" hidden="1"/>
    <cellStyle name="Followed Hyperlink" xfId="5029" builtinId="9" hidden="1"/>
    <cellStyle name="Followed Hyperlink" xfId="5031" builtinId="9" hidden="1"/>
    <cellStyle name="Followed Hyperlink" xfId="5033" builtinId="9" hidden="1"/>
    <cellStyle name="Followed Hyperlink" xfId="5035" builtinId="9" hidden="1"/>
    <cellStyle name="Followed Hyperlink" xfId="5037" builtinId="9" hidden="1"/>
    <cellStyle name="Followed Hyperlink" xfId="5039" builtinId="9" hidden="1"/>
    <cellStyle name="Followed Hyperlink" xfId="5041" builtinId="9" hidden="1"/>
    <cellStyle name="Followed Hyperlink" xfId="5043" builtinId="9" hidden="1"/>
    <cellStyle name="Followed Hyperlink" xfId="5045" builtinId="9" hidden="1"/>
    <cellStyle name="Followed Hyperlink" xfId="5047" builtinId="9" hidden="1"/>
    <cellStyle name="Followed Hyperlink" xfId="5049" builtinId="9" hidden="1"/>
    <cellStyle name="Followed Hyperlink" xfId="5051" builtinId="9" hidden="1"/>
    <cellStyle name="Followed Hyperlink" xfId="5053" builtinId="9" hidden="1"/>
    <cellStyle name="Followed Hyperlink" xfId="5055" builtinId="9" hidden="1"/>
    <cellStyle name="Followed Hyperlink" xfId="5057" builtinId="9" hidden="1"/>
    <cellStyle name="Followed Hyperlink" xfId="5059" builtinId="9" hidden="1"/>
    <cellStyle name="Followed Hyperlink" xfId="5061" builtinId="9" hidden="1"/>
    <cellStyle name="Followed Hyperlink" xfId="5063" builtinId="9" hidden="1"/>
    <cellStyle name="Followed Hyperlink" xfId="5065" builtinId="9" hidden="1"/>
    <cellStyle name="Followed Hyperlink" xfId="5067" builtinId="9" hidden="1"/>
    <cellStyle name="Followed Hyperlink" xfId="5069" builtinId="9" hidden="1"/>
    <cellStyle name="Followed Hyperlink" xfId="5071" builtinId="9" hidden="1"/>
    <cellStyle name="Followed Hyperlink" xfId="5073" builtinId="9" hidden="1"/>
    <cellStyle name="Followed Hyperlink" xfId="5075" builtinId="9" hidden="1"/>
    <cellStyle name="Followed Hyperlink" xfId="5077" builtinId="9" hidden="1"/>
    <cellStyle name="Followed Hyperlink" xfId="5079" builtinId="9" hidden="1"/>
    <cellStyle name="Followed Hyperlink" xfId="5081" builtinId="9" hidden="1"/>
    <cellStyle name="Followed Hyperlink" xfId="5083" builtinId="9" hidden="1"/>
    <cellStyle name="Followed Hyperlink" xfId="5085" builtinId="9" hidden="1"/>
    <cellStyle name="Followed Hyperlink" xfId="5087" builtinId="9" hidden="1"/>
    <cellStyle name="Followed Hyperlink" xfId="5089" builtinId="9" hidden="1"/>
    <cellStyle name="Followed Hyperlink" xfId="5091" builtinId="9" hidden="1"/>
    <cellStyle name="Followed Hyperlink" xfId="5093" builtinId="9" hidden="1"/>
    <cellStyle name="Followed Hyperlink" xfId="5095" builtinId="9" hidden="1"/>
    <cellStyle name="Followed Hyperlink" xfId="5097" builtinId="9" hidden="1"/>
    <cellStyle name="Followed Hyperlink" xfId="5099" builtinId="9" hidden="1"/>
    <cellStyle name="Followed Hyperlink" xfId="5101" builtinId="9" hidden="1"/>
    <cellStyle name="Followed Hyperlink" xfId="5103" builtinId="9" hidden="1"/>
    <cellStyle name="Followed Hyperlink" xfId="5105" builtinId="9" hidden="1"/>
    <cellStyle name="Followed Hyperlink" xfId="5107" builtinId="9" hidden="1"/>
    <cellStyle name="Followed Hyperlink" xfId="5109" builtinId="9" hidden="1"/>
    <cellStyle name="Followed Hyperlink" xfId="5111" builtinId="9" hidden="1"/>
    <cellStyle name="Followed Hyperlink" xfId="5113" builtinId="9" hidden="1"/>
    <cellStyle name="Followed Hyperlink" xfId="5115" builtinId="9" hidden="1"/>
    <cellStyle name="Followed Hyperlink" xfId="5117" builtinId="9" hidden="1"/>
    <cellStyle name="Followed Hyperlink" xfId="5119" builtinId="9" hidden="1"/>
    <cellStyle name="Followed Hyperlink" xfId="5121" builtinId="9" hidden="1"/>
    <cellStyle name="Followed Hyperlink" xfId="5123" builtinId="9" hidden="1"/>
    <cellStyle name="Followed Hyperlink" xfId="5125" builtinId="9" hidden="1"/>
    <cellStyle name="Followed Hyperlink" xfId="5127" builtinId="9" hidden="1"/>
    <cellStyle name="Followed Hyperlink" xfId="5129" builtinId="9" hidden="1"/>
    <cellStyle name="Followed Hyperlink" xfId="5131" builtinId="9" hidden="1"/>
    <cellStyle name="Followed Hyperlink" xfId="5133" builtinId="9" hidden="1"/>
    <cellStyle name="Followed Hyperlink" xfId="5135" builtinId="9" hidden="1"/>
    <cellStyle name="Followed Hyperlink" xfId="5137" builtinId="9" hidden="1"/>
    <cellStyle name="Followed Hyperlink" xfId="5139" builtinId="9" hidden="1"/>
    <cellStyle name="Followed Hyperlink" xfId="5141" builtinId="9" hidden="1"/>
    <cellStyle name="Followed Hyperlink" xfId="5143" builtinId="9" hidden="1"/>
    <cellStyle name="Followed Hyperlink" xfId="5145" builtinId="9" hidden="1"/>
    <cellStyle name="Followed Hyperlink" xfId="5147" builtinId="9" hidden="1"/>
    <cellStyle name="Followed Hyperlink" xfId="5149" builtinId="9" hidden="1"/>
    <cellStyle name="Followed Hyperlink" xfId="5151" builtinId="9" hidden="1"/>
    <cellStyle name="Followed Hyperlink" xfId="5153" builtinId="9" hidden="1"/>
    <cellStyle name="Followed Hyperlink" xfId="5155" builtinId="9" hidden="1"/>
    <cellStyle name="Followed Hyperlink" xfId="5157" builtinId="9" hidden="1"/>
    <cellStyle name="Followed Hyperlink" xfId="5159" builtinId="9" hidden="1"/>
    <cellStyle name="Followed Hyperlink" xfId="5161" builtinId="9" hidden="1"/>
    <cellStyle name="Followed Hyperlink" xfId="5163" builtinId="9" hidden="1"/>
    <cellStyle name="Followed Hyperlink" xfId="5165" builtinId="9" hidden="1"/>
    <cellStyle name="Followed Hyperlink" xfId="5167" builtinId="9" hidden="1"/>
    <cellStyle name="Followed Hyperlink" xfId="5169" builtinId="9" hidden="1"/>
    <cellStyle name="Followed Hyperlink" xfId="5171" builtinId="9" hidden="1"/>
    <cellStyle name="Followed Hyperlink" xfId="5173" builtinId="9" hidden="1"/>
    <cellStyle name="Followed Hyperlink" xfId="5175" builtinId="9" hidden="1"/>
    <cellStyle name="Followed Hyperlink" xfId="5177" builtinId="9" hidden="1"/>
    <cellStyle name="Followed Hyperlink" xfId="5179" builtinId="9" hidden="1"/>
    <cellStyle name="Followed Hyperlink" xfId="5181" builtinId="9" hidden="1"/>
    <cellStyle name="Followed Hyperlink" xfId="5183" builtinId="9" hidden="1"/>
    <cellStyle name="Followed Hyperlink" xfId="5185" builtinId="9" hidden="1"/>
    <cellStyle name="Followed Hyperlink" xfId="5187" builtinId="9" hidden="1"/>
    <cellStyle name="Followed Hyperlink" xfId="5189" builtinId="9" hidden="1"/>
    <cellStyle name="Followed Hyperlink" xfId="5191" builtinId="9" hidden="1"/>
    <cellStyle name="Followed Hyperlink" xfId="5193" builtinId="9" hidden="1"/>
    <cellStyle name="Followed Hyperlink" xfId="5195" builtinId="9" hidden="1"/>
    <cellStyle name="Followed Hyperlink" xfId="5197" builtinId="9" hidden="1"/>
    <cellStyle name="Followed Hyperlink" xfId="5199" builtinId="9" hidden="1"/>
    <cellStyle name="Followed Hyperlink" xfId="5201" builtinId="9" hidden="1"/>
    <cellStyle name="Followed Hyperlink" xfId="5203" builtinId="9" hidden="1"/>
    <cellStyle name="Followed Hyperlink" xfId="5205" builtinId="9" hidden="1"/>
    <cellStyle name="Followed Hyperlink" xfId="5207" builtinId="9" hidden="1"/>
    <cellStyle name="Followed Hyperlink" xfId="5209" builtinId="9" hidden="1"/>
    <cellStyle name="Followed Hyperlink" xfId="5211" builtinId="9" hidden="1"/>
    <cellStyle name="Followed Hyperlink" xfId="5213" builtinId="9" hidden="1"/>
    <cellStyle name="Followed Hyperlink" xfId="5215" builtinId="9" hidden="1"/>
    <cellStyle name="Followed Hyperlink" xfId="5217" builtinId="9" hidden="1"/>
    <cellStyle name="Followed Hyperlink" xfId="5219" builtinId="9" hidden="1"/>
    <cellStyle name="Followed Hyperlink" xfId="5221" builtinId="9" hidden="1"/>
    <cellStyle name="Followed Hyperlink" xfId="5223" builtinId="9" hidden="1"/>
    <cellStyle name="Followed Hyperlink" xfId="5225" builtinId="9" hidden="1"/>
    <cellStyle name="Followed Hyperlink" xfId="5227" builtinId="9" hidden="1"/>
    <cellStyle name="Followed Hyperlink" xfId="5229" builtinId="9" hidden="1"/>
    <cellStyle name="Followed Hyperlink" xfId="5231" builtinId="9" hidden="1"/>
    <cellStyle name="Followed Hyperlink" xfId="5233" builtinId="9" hidden="1"/>
    <cellStyle name="Followed Hyperlink" xfId="5235" builtinId="9" hidden="1"/>
    <cellStyle name="Followed Hyperlink" xfId="5237" builtinId="9" hidden="1"/>
    <cellStyle name="Followed Hyperlink" xfId="5239" builtinId="9" hidden="1"/>
    <cellStyle name="Followed Hyperlink" xfId="5241" builtinId="9" hidden="1"/>
    <cellStyle name="Followed Hyperlink" xfId="5243" builtinId="9" hidden="1"/>
    <cellStyle name="Followed Hyperlink" xfId="5245" builtinId="9" hidden="1"/>
    <cellStyle name="Followed Hyperlink" xfId="5247" builtinId="9" hidden="1"/>
    <cellStyle name="Followed Hyperlink" xfId="5249" builtinId="9" hidden="1"/>
    <cellStyle name="Followed Hyperlink" xfId="5251" builtinId="9" hidden="1"/>
    <cellStyle name="Followed Hyperlink" xfId="5253" builtinId="9" hidden="1"/>
    <cellStyle name="Followed Hyperlink" xfId="5255" builtinId="9" hidden="1"/>
    <cellStyle name="Followed Hyperlink" xfId="5257" builtinId="9" hidden="1"/>
    <cellStyle name="Followed Hyperlink" xfId="5259" builtinId="9" hidden="1"/>
    <cellStyle name="Followed Hyperlink" xfId="5261" builtinId="9" hidden="1"/>
    <cellStyle name="Followed Hyperlink" xfId="5263" builtinId="9" hidden="1"/>
    <cellStyle name="Followed Hyperlink" xfId="5265" builtinId="9" hidden="1"/>
    <cellStyle name="Followed Hyperlink" xfId="5267" builtinId="9" hidden="1"/>
    <cellStyle name="Followed Hyperlink" xfId="5269" builtinId="9" hidden="1"/>
    <cellStyle name="Followed Hyperlink" xfId="5271" builtinId="9" hidden="1"/>
    <cellStyle name="Followed Hyperlink" xfId="5273" builtinId="9" hidden="1"/>
    <cellStyle name="Followed Hyperlink" xfId="5275" builtinId="9" hidden="1"/>
    <cellStyle name="Followed Hyperlink" xfId="5277" builtinId="9" hidden="1"/>
    <cellStyle name="Followed Hyperlink" xfId="5279" builtinId="9" hidden="1"/>
    <cellStyle name="Followed Hyperlink" xfId="5281" builtinId="9" hidden="1"/>
    <cellStyle name="Followed Hyperlink" xfId="5283" builtinId="9" hidden="1"/>
    <cellStyle name="Followed Hyperlink" xfId="5285" builtinId="9" hidden="1"/>
    <cellStyle name="Followed Hyperlink" xfId="5287" builtinId="9" hidden="1"/>
    <cellStyle name="Followed Hyperlink" xfId="5289" builtinId="9" hidden="1"/>
    <cellStyle name="Followed Hyperlink" xfId="5291" builtinId="9" hidden="1"/>
    <cellStyle name="Followed Hyperlink" xfId="5293" builtinId="9" hidden="1"/>
    <cellStyle name="Followed Hyperlink" xfId="5295" builtinId="9" hidden="1"/>
    <cellStyle name="Followed Hyperlink" xfId="5297" builtinId="9" hidden="1"/>
    <cellStyle name="Followed Hyperlink" xfId="5299" builtinId="9" hidden="1"/>
    <cellStyle name="Followed Hyperlink" xfId="5301" builtinId="9" hidden="1"/>
    <cellStyle name="Followed Hyperlink" xfId="5303" builtinId="9" hidden="1"/>
    <cellStyle name="Followed Hyperlink" xfId="5305" builtinId="9" hidden="1"/>
    <cellStyle name="Followed Hyperlink" xfId="5307" builtinId="9" hidden="1"/>
    <cellStyle name="Followed Hyperlink" xfId="5309" builtinId="9" hidden="1"/>
    <cellStyle name="Followed Hyperlink" xfId="5311" builtinId="9" hidden="1"/>
    <cellStyle name="Followed Hyperlink" xfId="5313" builtinId="9" hidden="1"/>
    <cellStyle name="Followed Hyperlink" xfId="5315" builtinId="9" hidden="1"/>
    <cellStyle name="Followed Hyperlink" xfId="5317" builtinId="9" hidden="1"/>
    <cellStyle name="Followed Hyperlink" xfId="5319" builtinId="9" hidden="1"/>
    <cellStyle name="Followed Hyperlink" xfId="5321" builtinId="9" hidden="1"/>
    <cellStyle name="Followed Hyperlink" xfId="5323" builtinId="9" hidden="1"/>
    <cellStyle name="Followed Hyperlink" xfId="5325" builtinId="9" hidden="1"/>
    <cellStyle name="Followed Hyperlink" xfId="5327" builtinId="9" hidden="1"/>
    <cellStyle name="Followed Hyperlink" xfId="5329" builtinId="9" hidden="1"/>
    <cellStyle name="Followed Hyperlink" xfId="5331" builtinId="9" hidden="1"/>
    <cellStyle name="Followed Hyperlink" xfId="5333" builtinId="9" hidden="1"/>
    <cellStyle name="Followed Hyperlink" xfId="5335" builtinId="9" hidden="1"/>
    <cellStyle name="Followed Hyperlink" xfId="5337" builtinId="9" hidden="1"/>
    <cellStyle name="Followed Hyperlink" xfId="5339" builtinId="9" hidden="1"/>
    <cellStyle name="Followed Hyperlink" xfId="5341" builtinId="9" hidden="1"/>
    <cellStyle name="Followed Hyperlink" xfId="5343" builtinId="9" hidden="1"/>
    <cellStyle name="Followed Hyperlink" xfId="5345" builtinId="9" hidden="1"/>
    <cellStyle name="Followed Hyperlink" xfId="5347" builtinId="9" hidden="1"/>
    <cellStyle name="Followed Hyperlink" xfId="5349" builtinId="9" hidden="1"/>
    <cellStyle name="Followed Hyperlink" xfId="5351" builtinId="9" hidden="1"/>
    <cellStyle name="Followed Hyperlink" xfId="5353" builtinId="9" hidden="1"/>
    <cellStyle name="Followed Hyperlink" xfId="5355" builtinId="9" hidden="1"/>
    <cellStyle name="Followed Hyperlink" xfId="5357" builtinId="9" hidden="1"/>
    <cellStyle name="Followed Hyperlink" xfId="5359" builtinId="9" hidden="1"/>
    <cellStyle name="Followed Hyperlink" xfId="5361" builtinId="9" hidden="1"/>
    <cellStyle name="Followed Hyperlink" xfId="5363" builtinId="9" hidden="1"/>
    <cellStyle name="Followed Hyperlink" xfId="5365" builtinId="9" hidden="1"/>
    <cellStyle name="Followed Hyperlink" xfId="5367" builtinId="9" hidden="1"/>
    <cellStyle name="Followed Hyperlink" xfId="5369" builtinId="9" hidden="1"/>
    <cellStyle name="Followed Hyperlink" xfId="5371" builtinId="9" hidden="1"/>
    <cellStyle name="Followed Hyperlink" xfId="5373" builtinId="9" hidden="1"/>
    <cellStyle name="Followed Hyperlink" xfId="5375" builtinId="9" hidden="1"/>
    <cellStyle name="Followed Hyperlink" xfId="5377" builtinId="9" hidden="1"/>
    <cellStyle name="Followed Hyperlink" xfId="5379" builtinId="9" hidden="1"/>
    <cellStyle name="Followed Hyperlink" xfId="5381" builtinId="9" hidden="1"/>
    <cellStyle name="Followed Hyperlink" xfId="5383" builtinId="9" hidden="1"/>
    <cellStyle name="Followed Hyperlink" xfId="5385" builtinId="9" hidden="1"/>
    <cellStyle name="Followed Hyperlink" xfId="5387" builtinId="9" hidden="1"/>
    <cellStyle name="Followed Hyperlink" xfId="5389" builtinId="9" hidden="1"/>
    <cellStyle name="Followed Hyperlink" xfId="5391" builtinId="9" hidden="1"/>
    <cellStyle name="Followed Hyperlink" xfId="5393" builtinId="9" hidden="1"/>
    <cellStyle name="Followed Hyperlink" xfId="5395" builtinId="9" hidden="1"/>
    <cellStyle name="Followed Hyperlink" xfId="5397" builtinId="9" hidden="1"/>
    <cellStyle name="Followed Hyperlink" xfId="5399" builtinId="9" hidden="1"/>
    <cellStyle name="Followed Hyperlink" xfId="5401" builtinId="9" hidden="1"/>
    <cellStyle name="Followed Hyperlink" xfId="5403" builtinId="9" hidden="1"/>
    <cellStyle name="Followed Hyperlink" xfId="5405" builtinId="9" hidden="1"/>
    <cellStyle name="Followed Hyperlink" xfId="5407" builtinId="9" hidden="1"/>
    <cellStyle name="Followed Hyperlink" xfId="5409" builtinId="9" hidden="1"/>
    <cellStyle name="Followed Hyperlink" xfId="5411" builtinId="9" hidden="1"/>
    <cellStyle name="Followed Hyperlink" xfId="5413" builtinId="9" hidden="1"/>
    <cellStyle name="Followed Hyperlink" xfId="5415" builtinId="9" hidden="1"/>
    <cellStyle name="Followed Hyperlink" xfId="5417" builtinId="9" hidden="1"/>
    <cellStyle name="Followed Hyperlink" xfId="5419" builtinId="9" hidden="1"/>
    <cellStyle name="Followed Hyperlink" xfId="5421" builtinId="9" hidden="1"/>
    <cellStyle name="Followed Hyperlink" xfId="5423" builtinId="9" hidden="1"/>
    <cellStyle name="Followed Hyperlink" xfId="5425" builtinId="9" hidden="1"/>
    <cellStyle name="Followed Hyperlink" xfId="5427" builtinId="9" hidden="1"/>
    <cellStyle name="Followed Hyperlink" xfId="5429" builtinId="9" hidden="1"/>
    <cellStyle name="Followed Hyperlink" xfId="5431" builtinId="9" hidden="1"/>
    <cellStyle name="Followed Hyperlink" xfId="5433" builtinId="9" hidden="1"/>
    <cellStyle name="Followed Hyperlink" xfId="5435" builtinId="9" hidden="1"/>
    <cellStyle name="Followed Hyperlink" xfId="5437" builtinId="9" hidden="1"/>
    <cellStyle name="Followed Hyperlink" xfId="5439" builtinId="9" hidden="1"/>
    <cellStyle name="Followed Hyperlink" xfId="5441" builtinId="9" hidden="1"/>
    <cellStyle name="Followed Hyperlink" xfId="5443" builtinId="9" hidden="1"/>
    <cellStyle name="Followed Hyperlink" xfId="5445" builtinId="9" hidden="1"/>
    <cellStyle name="Followed Hyperlink" xfId="5447" builtinId="9" hidden="1"/>
    <cellStyle name="Followed Hyperlink" xfId="5449" builtinId="9" hidden="1"/>
    <cellStyle name="Followed Hyperlink" xfId="5451" builtinId="9" hidden="1"/>
    <cellStyle name="Followed Hyperlink" xfId="5453" builtinId="9" hidden="1"/>
    <cellStyle name="Followed Hyperlink" xfId="5455" builtinId="9" hidden="1"/>
    <cellStyle name="Followed Hyperlink" xfId="5457" builtinId="9" hidden="1"/>
    <cellStyle name="Followed Hyperlink" xfId="5459" builtinId="9" hidden="1"/>
    <cellStyle name="Followed Hyperlink" xfId="5461" builtinId="9" hidden="1"/>
    <cellStyle name="Followed Hyperlink" xfId="5463" builtinId="9" hidden="1"/>
    <cellStyle name="Followed Hyperlink" xfId="5465" builtinId="9" hidden="1"/>
    <cellStyle name="Followed Hyperlink" xfId="5467" builtinId="9" hidden="1"/>
    <cellStyle name="Followed Hyperlink" xfId="5469" builtinId="9" hidden="1"/>
    <cellStyle name="Followed Hyperlink" xfId="5471" builtinId="9" hidden="1"/>
    <cellStyle name="Followed Hyperlink" xfId="5473" builtinId="9" hidden="1"/>
    <cellStyle name="Followed Hyperlink" xfId="5475" builtinId="9" hidden="1"/>
    <cellStyle name="Followed Hyperlink" xfId="5477" builtinId="9" hidden="1"/>
    <cellStyle name="Followed Hyperlink" xfId="5479" builtinId="9" hidden="1"/>
    <cellStyle name="Followed Hyperlink" xfId="5481" builtinId="9" hidden="1"/>
    <cellStyle name="Followed Hyperlink" xfId="5483" builtinId="9" hidden="1"/>
    <cellStyle name="Followed Hyperlink" xfId="5485" builtinId="9" hidden="1"/>
    <cellStyle name="Followed Hyperlink" xfId="5487" builtinId="9" hidden="1"/>
    <cellStyle name="Followed Hyperlink" xfId="5489" builtinId="9" hidden="1"/>
    <cellStyle name="Followed Hyperlink" xfId="5491" builtinId="9" hidden="1"/>
    <cellStyle name="Followed Hyperlink" xfId="5493" builtinId="9" hidden="1"/>
    <cellStyle name="Followed Hyperlink" xfId="5495" builtinId="9" hidden="1"/>
    <cellStyle name="Followed Hyperlink" xfId="5497" builtinId="9" hidden="1"/>
    <cellStyle name="Followed Hyperlink" xfId="5499" builtinId="9" hidden="1"/>
    <cellStyle name="Followed Hyperlink" xfId="5501" builtinId="9" hidden="1"/>
    <cellStyle name="Followed Hyperlink" xfId="5503" builtinId="9" hidden="1"/>
    <cellStyle name="Followed Hyperlink" xfId="5505" builtinId="9" hidden="1"/>
    <cellStyle name="Followed Hyperlink" xfId="5507" builtinId="9" hidden="1"/>
    <cellStyle name="Followed Hyperlink" xfId="5509" builtinId="9" hidden="1"/>
    <cellStyle name="Followed Hyperlink" xfId="5511" builtinId="9" hidden="1"/>
    <cellStyle name="Followed Hyperlink" xfId="5513" builtinId="9" hidden="1"/>
    <cellStyle name="Followed Hyperlink" xfId="5515" builtinId="9" hidden="1"/>
    <cellStyle name="Followed Hyperlink" xfId="5517" builtinId="9" hidden="1"/>
    <cellStyle name="Followed Hyperlink" xfId="5519" builtinId="9" hidden="1"/>
    <cellStyle name="Followed Hyperlink" xfId="5521" builtinId="9" hidden="1"/>
    <cellStyle name="Followed Hyperlink" xfId="5523" builtinId="9" hidden="1"/>
    <cellStyle name="Followed Hyperlink" xfId="5525" builtinId="9" hidden="1"/>
    <cellStyle name="Followed Hyperlink" xfId="5527" builtinId="9" hidden="1"/>
    <cellStyle name="Followed Hyperlink" xfId="5529" builtinId="9" hidden="1"/>
    <cellStyle name="Followed Hyperlink" xfId="5531" builtinId="9" hidden="1"/>
    <cellStyle name="Followed Hyperlink" xfId="5533" builtinId="9" hidden="1"/>
    <cellStyle name="Followed Hyperlink" xfId="5535" builtinId="9" hidden="1"/>
    <cellStyle name="Followed Hyperlink" xfId="5537" builtinId="9" hidden="1"/>
    <cellStyle name="Followed Hyperlink" xfId="5539" builtinId="9" hidden="1"/>
    <cellStyle name="Followed Hyperlink" xfId="5541" builtinId="9" hidden="1"/>
    <cellStyle name="Followed Hyperlink" xfId="5543" builtinId="9" hidden="1"/>
    <cellStyle name="Followed Hyperlink" xfId="5545" builtinId="9" hidden="1"/>
    <cellStyle name="Followed Hyperlink" xfId="5547" builtinId="9" hidden="1"/>
    <cellStyle name="Followed Hyperlink" xfId="5549" builtinId="9" hidden="1"/>
    <cellStyle name="Followed Hyperlink" xfId="5551" builtinId="9" hidden="1"/>
    <cellStyle name="Followed Hyperlink" xfId="5553" builtinId="9" hidden="1"/>
    <cellStyle name="Followed Hyperlink" xfId="5555" builtinId="9" hidden="1"/>
    <cellStyle name="Followed Hyperlink" xfId="5557" builtinId="9" hidden="1"/>
    <cellStyle name="Followed Hyperlink" xfId="5559" builtinId="9" hidden="1"/>
    <cellStyle name="Followed Hyperlink" xfId="5561" builtinId="9" hidden="1"/>
    <cellStyle name="Followed Hyperlink" xfId="5563" builtinId="9" hidden="1"/>
    <cellStyle name="Followed Hyperlink" xfId="5565" builtinId="9" hidden="1"/>
    <cellStyle name="Followed Hyperlink" xfId="5567" builtinId="9" hidden="1"/>
    <cellStyle name="Followed Hyperlink" xfId="5569" builtinId="9" hidden="1"/>
    <cellStyle name="Followed Hyperlink" xfId="5571" builtinId="9" hidden="1"/>
    <cellStyle name="Followed Hyperlink" xfId="5573" builtinId="9" hidden="1"/>
    <cellStyle name="Followed Hyperlink" xfId="5575" builtinId="9" hidden="1"/>
    <cellStyle name="Followed Hyperlink" xfId="5577" builtinId="9" hidden="1"/>
    <cellStyle name="Followed Hyperlink" xfId="5579" builtinId="9" hidden="1"/>
    <cellStyle name="Followed Hyperlink" xfId="5581" builtinId="9" hidden="1"/>
    <cellStyle name="Followed Hyperlink" xfId="5583" builtinId="9" hidden="1"/>
    <cellStyle name="Followed Hyperlink" xfId="5585" builtinId="9" hidden="1"/>
    <cellStyle name="Followed Hyperlink" xfId="5587" builtinId="9" hidden="1"/>
    <cellStyle name="Followed Hyperlink" xfId="5589" builtinId="9" hidden="1"/>
    <cellStyle name="Followed Hyperlink" xfId="5591" builtinId="9" hidden="1"/>
    <cellStyle name="Followed Hyperlink" xfId="5593" builtinId="9" hidden="1"/>
    <cellStyle name="Followed Hyperlink" xfId="5595" builtinId="9" hidden="1"/>
    <cellStyle name="Followed Hyperlink" xfId="5597" builtinId="9" hidden="1"/>
    <cellStyle name="Followed Hyperlink" xfId="5599" builtinId="9" hidden="1"/>
    <cellStyle name="Followed Hyperlink" xfId="5601" builtinId="9" hidden="1"/>
    <cellStyle name="Followed Hyperlink" xfId="5603" builtinId="9" hidden="1"/>
    <cellStyle name="Followed Hyperlink" xfId="5605" builtinId="9" hidden="1"/>
    <cellStyle name="Followed Hyperlink" xfId="5607" builtinId="9" hidden="1"/>
    <cellStyle name="Followed Hyperlink" xfId="5609" builtinId="9" hidden="1"/>
    <cellStyle name="Followed Hyperlink" xfId="5611" builtinId="9" hidden="1"/>
    <cellStyle name="Followed Hyperlink" xfId="5613" builtinId="9" hidden="1"/>
    <cellStyle name="Followed Hyperlink" xfId="5615" builtinId="9" hidden="1"/>
    <cellStyle name="Followed Hyperlink" xfId="5617" builtinId="9" hidden="1"/>
    <cellStyle name="Followed Hyperlink" xfId="5619" builtinId="9" hidden="1"/>
    <cellStyle name="Followed Hyperlink" xfId="5621" builtinId="9" hidden="1"/>
    <cellStyle name="Followed Hyperlink" xfId="5623" builtinId="9" hidden="1"/>
    <cellStyle name="Followed Hyperlink" xfId="5625" builtinId="9" hidden="1"/>
    <cellStyle name="Followed Hyperlink" xfId="5627" builtinId="9" hidden="1"/>
    <cellStyle name="Followed Hyperlink" xfId="5629" builtinId="9" hidden="1"/>
    <cellStyle name="Followed Hyperlink" xfId="5631" builtinId="9" hidden="1"/>
    <cellStyle name="Followed Hyperlink" xfId="5633" builtinId="9" hidden="1"/>
    <cellStyle name="Followed Hyperlink" xfId="5635" builtinId="9" hidden="1"/>
    <cellStyle name="Followed Hyperlink" xfId="5637" builtinId="9" hidden="1"/>
    <cellStyle name="Followed Hyperlink" xfId="5639" builtinId="9" hidden="1"/>
    <cellStyle name="Followed Hyperlink" xfId="5641" builtinId="9" hidden="1"/>
    <cellStyle name="Followed Hyperlink" xfId="5643" builtinId="9" hidden="1"/>
    <cellStyle name="Followed Hyperlink" xfId="5645" builtinId="9" hidden="1"/>
    <cellStyle name="Followed Hyperlink" xfId="5647" builtinId="9" hidden="1"/>
    <cellStyle name="Followed Hyperlink" xfId="5649" builtinId="9" hidden="1"/>
    <cellStyle name="Followed Hyperlink" xfId="5651" builtinId="9" hidden="1"/>
    <cellStyle name="Followed Hyperlink" xfId="5653" builtinId="9" hidden="1"/>
    <cellStyle name="Followed Hyperlink" xfId="5655" builtinId="9" hidden="1"/>
    <cellStyle name="Followed Hyperlink" xfId="5657" builtinId="9" hidden="1"/>
    <cellStyle name="Followed Hyperlink" xfId="5659" builtinId="9" hidden="1"/>
    <cellStyle name="Followed Hyperlink" xfId="5661" builtinId="9" hidden="1"/>
    <cellStyle name="Followed Hyperlink" xfId="5663" builtinId="9" hidden="1"/>
    <cellStyle name="Followed Hyperlink" xfId="5665" builtinId="9" hidden="1"/>
    <cellStyle name="Followed Hyperlink" xfId="5667" builtinId="9" hidden="1"/>
    <cellStyle name="Followed Hyperlink" xfId="5669" builtinId="9" hidden="1"/>
    <cellStyle name="Followed Hyperlink" xfId="5671" builtinId="9" hidden="1"/>
    <cellStyle name="Followed Hyperlink" xfId="5673" builtinId="9" hidden="1"/>
    <cellStyle name="Followed Hyperlink" xfId="5675" builtinId="9" hidden="1"/>
    <cellStyle name="Followed Hyperlink" xfId="5677" builtinId="9" hidden="1"/>
    <cellStyle name="Followed Hyperlink" xfId="5679" builtinId="9" hidden="1"/>
    <cellStyle name="Followed Hyperlink" xfId="5681" builtinId="9" hidden="1"/>
    <cellStyle name="Followed Hyperlink" xfId="5683" builtinId="9" hidden="1"/>
    <cellStyle name="Followed Hyperlink" xfId="5685" builtinId="9" hidden="1"/>
    <cellStyle name="Followed Hyperlink" xfId="5687" builtinId="9" hidden="1"/>
    <cellStyle name="Followed Hyperlink" xfId="5689" builtinId="9" hidden="1"/>
    <cellStyle name="Followed Hyperlink" xfId="5691" builtinId="9" hidden="1"/>
    <cellStyle name="Followed Hyperlink" xfId="5693" builtinId="9" hidden="1"/>
    <cellStyle name="Followed Hyperlink" xfId="5695" builtinId="9" hidden="1"/>
    <cellStyle name="Followed Hyperlink" xfId="5697" builtinId="9" hidden="1"/>
    <cellStyle name="Followed Hyperlink" xfId="5699" builtinId="9" hidden="1"/>
    <cellStyle name="Followed Hyperlink" xfId="5701" builtinId="9" hidden="1"/>
    <cellStyle name="Followed Hyperlink" xfId="5703" builtinId="9" hidden="1"/>
    <cellStyle name="Followed Hyperlink" xfId="5705" builtinId="9" hidden="1"/>
    <cellStyle name="Followed Hyperlink" xfId="5707" builtinId="9" hidden="1"/>
    <cellStyle name="Followed Hyperlink" xfId="5709" builtinId="9" hidden="1"/>
    <cellStyle name="Followed Hyperlink" xfId="5711" builtinId="9" hidden="1"/>
    <cellStyle name="Followed Hyperlink" xfId="5713" builtinId="9" hidden="1"/>
    <cellStyle name="Followed Hyperlink" xfId="5715" builtinId="9" hidden="1"/>
    <cellStyle name="Followed Hyperlink" xfId="5717" builtinId="9" hidden="1"/>
    <cellStyle name="Followed Hyperlink" xfId="5719" builtinId="9" hidden="1"/>
    <cellStyle name="Followed Hyperlink" xfId="5721" builtinId="9" hidden="1"/>
    <cellStyle name="Followed Hyperlink" xfId="5723" builtinId="9" hidden="1"/>
    <cellStyle name="Followed Hyperlink" xfId="5725" builtinId="9" hidden="1"/>
    <cellStyle name="Followed Hyperlink" xfId="5727" builtinId="9" hidden="1"/>
    <cellStyle name="Followed Hyperlink" xfId="5729" builtinId="9" hidden="1"/>
    <cellStyle name="Followed Hyperlink" xfId="5731" builtinId="9" hidden="1"/>
    <cellStyle name="Followed Hyperlink" xfId="5733" builtinId="9" hidden="1"/>
    <cellStyle name="Followed Hyperlink" xfId="5735" builtinId="9" hidden="1"/>
    <cellStyle name="Followed Hyperlink" xfId="5737" builtinId="9" hidden="1"/>
    <cellStyle name="Followed Hyperlink" xfId="5739" builtinId="9" hidden="1"/>
    <cellStyle name="Followed Hyperlink" xfId="5741" builtinId="9" hidden="1"/>
    <cellStyle name="Followed Hyperlink" xfId="5743" builtinId="9" hidden="1"/>
    <cellStyle name="Followed Hyperlink" xfId="5745" builtinId="9" hidden="1"/>
    <cellStyle name="Followed Hyperlink" xfId="5747" builtinId="9" hidden="1"/>
    <cellStyle name="Followed Hyperlink" xfId="5749" builtinId="9" hidden="1"/>
    <cellStyle name="Followed Hyperlink" xfId="5751" builtinId="9" hidden="1"/>
    <cellStyle name="Followed Hyperlink" xfId="5753" builtinId="9" hidden="1"/>
    <cellStyle name="Followed Hyperlink" xfId="5755" builtinId="9" hidden="1"/>
    <cellStyle name="Followed Hyperlink" xfId="5757" builtinId="9" hidden="1"/>
    <cellStyle name="Followed Hyperlink" xfId="5759" builtinId="9" hidden="1"/>
    <cellStyle name="Followed Hyperlink" xfId="5761" builtinId="9" hidden="1"/>
    <cellStyle name="Followed Hyperlink" xfId="5763" builtinId="9" hidden="1"/>
    <cellStyle name="Followed Hyperlink" xfId="5765" builtinId="9" hidden="1"/>
    <cellStyle name="Followed Hyperlink" xfId="5767" builtinId="9" hidden="1"/>
    <cellStyle name="Followed Hyperlink" xfId="5769" builtinId="9" hidden="1"/>
    <cellStyle name="Followed Hyperlink" xfId="5771" builtinId="9" hidden="1"/>
    <cellStyle name="Followed Hyperlink" xfId="5773" builtinId="9" hidden="1"/>
    <cellStyle name="Followed Hyperlink" xfId="5775" builtinId="9" hidden="1"/>
    <cellStyle name="Followed Hyperlink" xfId="5777" builtinId="9" hidden="1"/>
    <cellStyle name="Followed Hyperlink" xfId="5779" builtinId="9" hidden="1"/>
    <cellStyle name="Followed Hyperlink" xfId="5781" builtinId="9" hidden="1"/>
    <cellStyle name="Followed Hyperlink" xfId="5783" builtinId="9" hidden="1"/>
    <cellStyle name="Followed Hyperlink" xfId="5785" builtinId="9" hidden="1"/>
    <cellStyle name="Followed Hyperlink" xfId="5787" builtinId="9" hidden="1"/>
    <cellStyle name="Followed Hyperlink" xfId="5789" builtinId="9" hidden="1"/>
    <cellStyle name="Followed Hyperlink" xfId="5791" builtinId="9" hidden="1"/>
    <cellStyle name="Followed Hyperlink" xfId="5793" builtinId="9" hidden="1"/>
    <cellStyle name="Followed Hyperlink" xfId="5795" builtinId="9" hidden="1"/>
    <cellStyle name="Followed Hyperlink" xfId="5797" builtinId="9" hidden="1"/>
    <cellStyle name="Followed Hyperlink" xfId="5799" builtinId="9" hidden="1"/>
    <cellStyle name="Followed Hyperlink" xfId="5801" builtinId="9" hidden="1"/>
    <cellStyle name="Followed Hyperlink" xfId="5803" builtinId="9" hidden="1"/>
    <cellStyle name="Followed Hyperlink" xfId="5805" builtinId="9" hidden="1"/>
    <cellStyle name="Followed Hyperlink" xfId="5807" builtinId="9" hidden="1"/>
    <cellStyle name="Followed Hyperlink" xfId="5809" builtinId="9" hidden="1"/>
    <cellStyle name="Followed Hyperlink" xfId="5811" builtinId="9" hidden="1"/>
    <cellStyle name="Followed Hyperlink" xfId="5813" builtinId="9" hidden="1"/>
    <cellStyle name="Followed Hyperlink" xfId="5815" builtinId="9" hidden="1"/>
    <cellStyle name="Followed Hyperlink" xfId="5817" builtinId="9" hidden="1"/>
    <cellStyle name="Followed Hyperlink" xfId="5819" builtinId="9" hidden="1"/>
    <cellStyle name="Followed Hyperlink" xfId="5821" builtinId="9" hidden="1"/>
    <cellStyle name="Followed Hyperlink" xfId="5823" builtinId="9" hidden="1"/>
    <cellStyle name="Followed Hyperlink" xfId="5825" builtinId="9" hidden="1"/>
    <cellStyle name="Followed Hyperlink" xfId="5827" builtinId="9" hidden="1"/>
    <cellStyle name="Followed Hyperlink" xfId="5829" builtinId="9" hidden="1"/>
    <cellStyle name="Followed Hyperlink" xfId="5831" builtinId="9" hidden="1"/>
    <cellStyle name="Followed Hyperlink" xfId="5833" builtinId="9" hidden="1"/>
    <cellStyle name="Followed Hyperlink" xfId="5835" builtinId="9" hidden="1"/>
    <cellStyle name="Followed Hyperlink" xfId="5837" builtinId="9" hidden="1"/>
    <cellStyle name="Followed Hyperlink" xfId="5839" builtinId="9" hidden="1"/>
    <cellStyle name="Followed Hyperlink" xfId="5841" builtinId="9" hidden="1"/>
    <cellStyle name="Followed Hyperlink" xfId="5843" builtinId="9" hidden="1"/>
    <cellStyle name="Followed Hyperlink" xfId="5845" builtinId="9" hidden="1"/>
    <cellStyle name="Followed Hyperlink" xfId="5847" builtinId="9" hidden="1"/>
    <cellStyle name="Followed Hyperlink" xfId="5849" builtinId="9" hidden="1"/>
    <cellStyle name="Followed Hyperlink" xfId="5851" builtinId="9" hidden="1"/>
    <cellStyle name="Followed Hyperlink" xfId="5853" builtinId="9" hidden="1"/>
    <cellStyle name="Followed Hyperlink" xfId="5855" builtinId="9" hidden="1"/>
    <cellStyle name="Followed Hyperlink" xfId="5857" builtinId="9" hidden="1"/>
    <cellStyle name="Followed Hyperlink" xfId="5859" builtinId="9" hidden="1"/>
    <cellStyle name="Followed Hyperlink" xfId="5861" builtinId="9" hidden="1"/>
    <cellStyle name="Followed Hyperlink" xfId="5863" builtinId="9" hidden="1"/>
    <cellStyle name="Followed Hyperlink" xfId="5865" builtinId="9" hidden="1"/>
    <cellStyle name="Followed Hyperlink" xfId="5867" builtinId="9" hidden="1"/>
    <cellStyle name="Followed Hyperlink" xfId="5869" builtinId="9" hidden="1"/>
    <cellStyle name="Followed Hyperlink" xfId="5871" builtinId="9" hidden="1"/>
    <cellStyle name="Followed Hyperlink" xfId="5873" builtinId="9" hidden="1"/>
    <cellStyle name="Followed Hyperlink" xfId="5875" builtinId="9" hidden="1"/>
    <cellStyle name="Followed Hyperlink" xfId="5877" builtinId="9" hidden="1"/>
    <cellStyle name="Followed Hyperlink" xfId="5879" builtinId="9" hidden="1"/>
    <cellStyle name="Followed Hyperlink" xfId="5881" builtinId="9" hidden="1"/>
    <cellStyle name="Followed Hyperlink" xfId="5883" builtinId="9" hidden="1"/>
    <cellStyle name="Followed Hyperlink" xfId="5885" builtinId="9" hidden="1"/>
    <cellStyle name="Followed Hyperlink" xfId="5887" builtinId="9" hidden="1"/>
    <cellStyle name="Followed Hyperlink" xfId="5889" builtinId="9" hidden="1"/>
    <cellStyle name="Followed Hyperlink" xfId="5891" builtinId="9" hidden="1"/>
    <cellStyle name="Followed Hyperlink" xfId="5893" builtinId="9" hidden="1"/>
    <cellStyle name="Followed Hyperlink" xfId="5895" builtinId="9" hidden="1"/>
    <cellStyle name="Followed Hyperlink" xfId="5897" builtinId="9" hidden="1"/>
    <cellStyle name="Followed Hyperlink" xfId="5899" builtinId="9" hidden="1"/>
    <cellStyle name="Followed Hyperlink" xfId="5901" builtinId="9" hidden="1"/>
    <cellStyle name="Followed Hyperlink" xfId="5903" builtinId="9" hidden="1"/>
    <cellStyle name="Followed Hyperlink" xfId="5905" builtinId="9" hidden="1"/>
    <cellStyle name="Followed Hyperlink" xfId="5907" builtinId="9" hidden="1"/>
    <cellStyle name="Followed Hyperlink" xfId="5909" builtinId="9" hidden="1"/>
    <cellStyle name="Followed Hyperlink" xfId="5911" builtinId="9" hidden="1"/>
    <cellStyle name="Followed Hyperlink" xfId="5913" builtinId="9" hidden="1"/>
    <cellStyle name="Followed Hyperlink" xfId="5915" builtinId="9" hidden="1"/>
    <cellStyle name="Followed Hyperlink" xfId="5917" builtinId="9" hidden="1"/>
    <cellStyle name="Followed Hyperlink" xfId="5919" builtinId="9" hidden="1"/>
    <cellStyle name="Followed Hyperlink" xfId="5921" builtinId="9" hidden="1"/>
    <cellStyle name="Followed Hyperlink" xfId="5923" builtinId="9" hidden="1"/>
    <cellStyle name="Followed Hyperlink" xfId="5925" builtinId="9" hidden="1"/>
    <cellStyle name="Followed Hyperlink" xfId="5927" builtinId="9" hidden="1"/>
    <cellStyle name="Followed Hyperlink" xfId="5929" builtinId="9" hidden="1"/>
    <cellStyle name="Followed Hyperlink" xfId="5931" builtinId="9" hidden="1"/>
    <cellStyle name="Followed Hyperlink" xfId="5933" builtinId="9" hidden="1"/>
    <cellStyle name="Followed Hyperlink" xfId="5935" builtinId="9" hidden="1"/>
    <cellStyle name="Followed Hyperlink" xfId="5937" builtinId="9" hidden="1"/>
    <cellStyle name="Followed Hyperlink" xfId="5939" builtinId="9" hidden="1"/>
    <cellStyle name="Followed Hyperlink" xfId="5941" builtinId="9" hidden="1"/>
    <cellStyle name="Followed Hyperlink" xfId="5943" builtinId="9" hidden="1"/>
    <cellStyle name="Followed Hyperlink" xfId="5945" builtinId="9" hidden="1"/>
    <cellStyle name="Followed Hyperlink" xfId="5947" builtinId="9" hidden="1"/>
    <cellStyle name="Followed Hyperlink" xfId="5949" builtinId="9" hidden="1"/>
    <cellStyle name="Followed Hyperlink" xfId="5951" builtinId="9" hidden="1"/>
    <cellStyle name="Followed Hyperlink" xfId="5953" builtinId="9" hidden="1"/>
    <cellStyle name="Followed Hyperlink" xfId="5955" builtinId="9" hidden="1"/>
    <cellStyle name="Followed Hyperlink" xfId="5957" builtinId="9" hidden="1"/>
    <cellStyle name="Followed Hyperlink" xfId="5959" builtinId="9" hidden="1"/>
    <cellStyle name="Followed Hyperlink" xfId="5961" builtinId="9" hidden="1"/>
    <cellStyle name="Followed Hyperlink" xfId="5963" builtinId="9" hidden="1"/>
    <cellStyle name="Followed Hyperlink" xfId="5965" builtinId="9" hidden="1"/>
    <cellStyle name="Followed Hyperlink" xfId="5967" builtinId="9" hidden="1"/>
    <cellStyle name="Followed Hyperlink" xfId="5969" builtinId="9" hidden="1"/>
    <cellStyle name="Followed Hyperlink" xfId="5971" builtinId="9" hidden="1"/>
    <cellStyle name="Followed Hyperlink" xfId="5973" builtinId="9" hidden="1"/>
    <cellStyle name="Followed Hyperlink" xfId="5975" builtinId="9" hidden="1"/>
    <cellStyle name="Followed Hyperlink" xfId="5977" builtinId="9" hidden="1"/>
    <cellStyle name="Followed Hyperlink" xfId="5979" builtinId="9" hidden="1"/>
    <cellStyle name="Followed Hyperlink" xfId="5981" builtinId="9" hidden="1"/>
    <cellStyle name="Followed Hyperlink" xfId="5983" builtinId="9" hidden="1"/>
    <cellStyle name="Followed Hyperlink" xfId="5985" builtinId="9" hidden="1"/>
    <cellStyle name="Followed Hyperlink" xfId="5987" builtinId="9" hidden="1"/>
    <cellStyle name="Followed Hyperlink" xfId="5989" builtinId="9" hidden="1"/>
    <cellStyle name="Followed Hyperlink" xfId="5991" builtinId="9" hidden="1"/>
    <cellStyle name="Followed Hyperlink" xfId="5993" builtinId="9" hidden="1"/>
    <cellStyle name="Followed Hyperlink" xfId="5995" builtinId="9" hidden="1"/>
    <cellStyle name="Followed Hyperlink" xfId="5997" builtinId="9" hidden="1"/>
    <cellStyle name="Followed Hyperlink" xfId="5999" builtinId="9" hidden="1"/>
    <cellStyle name="Followed Hyperlink" xfId="6001" builtinId="9" hidden="1"/>
    <cellStyle name="Followed Hyperlink" xfId="6003" builtinId="9" hidden="1"/>
    <cellStyle name="Followed Hyperlink" xfId="6005" builtinId="9" hidden="1"/>
    <cellStyle name="Followed Hyperlink" xfId="6007" builtinId="9" hidden="1"/>
    <cellStyle name="Followed Hyperlink" xfId="6009" builtinId="9" hidden="1"/>
    <cellStyle name="Followed Hyperlink" xfId="6011" builtinId="9" hidden="1"/>
    <cellStyle name="Followed Hyperlink" xfId="6013" builtinId="9" hidden="1"/>
    <cellStyle name="Followed Hyperlink" xfId="6015" builtinId="9" hidden="1"/>
    <cellStyle name="Followed Hyperlink" xfId="6017" builtinId="9" hidden="1"/>
    <cellStyle name="Followed Hyperlink" xfId="6019" builtinId="9" hidden="1"/>
    <cellStyle name="Followed Hyperlink" xfId="6021" builtinId="9" hidden="1"/>
    <cellStyle name="Followed Hyperlink" xfId="6023" builtinId="9" hidden="1"/>
    <cellStyle name="Followed Hyperlink" xfId="6025" builtinId="9" hidden="1"/>
    <cellStyle name="Followed Hyperlink" xfId="6027" builtinId="9" hidden="1"/>
    <cellStyle name="Followed Hyperlink" xfId="6029" builtinId="9" hidden="1"/>
    <cellStyle name="Followed Hyperlink" xfId="6031" builtinId="9" hidden="1"/>
    <cellStyle name="Followed Hyperlink" xfId="6033" builtinId="9" hidden="1"/>
    <cellStyle name="Followed Hyperlink" xfId="6035" builtinId="9" hidden="1"/>
    <cellStyle name="Followed Hyperlink" xfId="6037" builtinId="9" hidden="1"/>
    <cellStyle name="Followed Hyperlink" xfId="6039" builtinId="9" hidden="1"/>
    <cellStyle name="Followed Hyperlink" xfId="6041" builtinId="9" hidden="1"/>
    <cellStyle name="Followed Hyperlink" xfId="6043" builtinId="9" hidden="1"/>
    <cellStyle name="Followed Hyperlink" xfId="6045" builtinId="9" hidden="1"/>
    <cellStyle name="Followed Hyperlink" xfId="6047" builtinId="9" hidden="1"/>
    <cellStyle name="Followed Hyperlink" xfId="6049" builtinId="9" hidden="1"/>
    <cellStyle name="Followed Hyperlink" xfId="6051" builtinId="9" hidden="1"/>
    <cellStyle name="Followed Hyperlink" xfId="6053" builtinId="9" hidden="1"/>
    <cellStyle name="Followed Hyperlink" xfId="6055" builtinId="9" hidden="1"/>
    <cellStyle name="Followed Hyperlink" xfId="6057" builtinId="9" hidden="1"/>
    <cellStyle name="Followed Hyperlink" xfId="6059" builtinId="9" hidden="1"/>
    <cellStyle name="Followed Hyperlink" xfId="6061" builtinId="9" hidden="1"/>
    <cellStyle name="Followed Hyperlink" xfId="6063" builtinId="9" hidden="1"/>
    <cellStyle name="Followed Hyperlink" xfId="6065" builtinId="9" hidden="1"/>
    <cellStyle name="Followed Hyperlink" xfId="6067" builtinId="9" hidden="1"/>
    <cellStyle name="Followed Hyperlink" xfId="6069" builtinId="9" hidden="1"/>
    <cellStyle name="Followed Hyperlink" xfId="6071" builtinId="9" hidden="1"/>
    <cellStyle name="Followed Hyperlink" xfId="6073" builtinId="9" hidden="1"/>
    <cellStyle name="Followed Hyperlink" xfId="6075" builtinId="9" hidden="1"/>
    <cellStyle name="Followed Hyperlink" xfId="6077" builtinId="9" hidden="1"/>
    <cellStyle name="Followed Hyperlink" xfId="6079" builtinId="9" hidden="1"/>
    <cellStyle name="Followed Hyperlink" xfId="6081" builtinId="9" hidden="1"/>
    <cellStyle name="Followed Hyperlink" xfId="6083" builtinId="9" hidden="1"/>
    <cellStyle name="Followed Hyperlink" xfId="6085" builtinId="9" hidden="1"/>
    <cellStyle name="Followed Hyperlink" xfId="6087" builtinId="9" hidden="1"/>
    <cellStyle name="Followed Hyperlink" xfId="6089" builtinId="9" hidden="1"/>
    <cellStyle name="Followed Hyperlink" xfId="6091" builtinId="9" hidden="1"/>
    <cellStyle name="Followed Hyperlink" xfId="6093" builtinId="9" hidden="1"/>
    <cellStyle name="Followed Hyperlink" xfId="6095" builtinId="9" hidden="1"/>
    <cellStyle name="Followed Hyperlink" xfId="6097" builtinId="9" hidden="1"/>
    <cellStyle name="Followed Hyperlink" xfId="6099" builtinId="9" hidden="1"/>
    <cellStyle name="Followed Hyperlink" xfId="6101" builtinId="9" hidden="1"/>
    <cellStyle name="Followed Hyperlink" xfId="6103" builtinId="9" hidden="1"/>
    <cellStyle name="Followed Hyperlink" xfId="6105" builtinId="9" hidden="1"/>
    <cellStyle name="Followed Hyperlink" xfId="6107" builtinId="9" hidden="1"/>
    <cellStyle name="Followed Hyperlink" xfId="6109" builtinId="9" hidden="1"/>
    <cellStyle name="Followed Hyperlink" xfId="6111" builtinId="9" hidden="1"/>
    <cellStyle name="Followed Hyperlink" xfId="6113" builtinId="9" hidden="1"/>
    <cellStyle name="Followed Hyperlink" xfId="6115" builtinId="9" hidden="1"/>
    <cellStyle name="Followed Hyperlink" xfId="6117" builtinId="9" hidden="1"/>
    <cellStyle name="Followed Hyperlink" xfId="6119" builtinId="9" hidden="1"/>
    <cellStyle name="Followed Hyperlink" xfId="6121" builtinId="9" hidden="1"/>
    <cellStyle name="Followed Hyperlink" xfId="6123" builtinId="9" hidden="1"/>
    <cellStyle name="Followed Hyperlink" xfId="6125" builtinId="9" hidden="1"/>
    <cellStyle name="Followed Hyperlink" xfId="6127" builtinId="9" hidden="1"/>
    <cellStyle name="Followed Hyperlink" xfId="6129" builtinId="9" hidden="1"/>
    <cellStyle name="Followed Hyperlink" xfId="6131" builtinId="9" hidden="1"/>
    <cellStyle name="Followed Hyperlink" xfId="6133" builtinId="9" hidden="1"/>
    <cellStyle name="Followed Hyperlink" xfId="6135" builtinId="9" hidden="1"/>
    <cellStyle name="Followed Hyperlink" xfId="6137" builtinId="9" hidden="1"/>
    <cellStyle name="Followed Hyperlink" xfId="6139" builtinId="9" hidden="1"/>
    <cellStyle name="Followed Hyperlink" xfId="6141" builtinId="9" hidden="1"/>
    <cellStyle name="Followed Hyperlink" xfId="6143" builtinId="9" hidden="1"/>
    <cellStyle name="Followed Hyperlink" xfId="6145" builtinId="9" hidden="1"/>
    <cellStyle name="Followed Hyperlink" xfId="6147" builtinId="9" hidden="1"/>
    <cellStyle name="Followed Hyperlink" xfId="6149" builtinId="9" hidden="1"/>
    <cellStyle name="Followed Hyperlink" xfId="6151" builtinId="9" hidden="1"/>
    <cellStyle name="Followed Hyperlink" xfId="6153" builtinId="9" hidden="1"/>
    <cellStyle name="Followed Hyperlink" xfId="6155" builtinId="9" hidden="1"/>
    <cellStyle name="Followed Hyperlink" xfId="6157" builtinId="9" hidden="1"/>
    <cellStyle name="Followed Hyperlink" xfId="6159" builtinId="9" hidden="1"/>
    <cellStyle name="Followed Hyperlink" xfId="6161" builtinId="9" hidden="1"/>
    <cellStyle name="Followed Hyperlink" xfId="6163" builtinId="9" hidden="1"/>
    <cellStyle name="Followed Hyperlink" xfId="6165" builtinId="9" hidden="1"/>
    <cellStyle name="Followed Hyperlink" xfId="6167" builtinId="9" hidden="1"/>
    <cellStyle name="Followed Hyperlink" xfId="6169" builtinId="9" hidden="1"/>
    <cellStyle name="Followed Hyperlink" xfId="6171" builtinId="9" hidden="1"/>
    <cellStyle name="Followed Hyperlink" xfId="6173" builtinId="9" hidden="1"/>
    <cellStyle name="Followed Hyperlink" xfId="6175" builtinId="9" hidden="1"/>
    <cellStyle name="Followed Hyperlink" xfId="6177" builtinId="9" hidden="1"/>
    <cellStyle name="Followed Hyperlink" xfId="6179" builtinId="9" hidden="1"/>
    <cellStyle name="Followed Hyperlink" xfId="6181" builtinId="9" hidden="1"/>
    <cellStyle name="Followed Hyperlink" xfId="6183" builtinId="9" hidden="1"/>
    <cellStyle name="Followed Hyperlink" xfId="6185" builtinId="9" hidden="1"/>
    <cellStyle name="Followed Hyperlink" xfId="6187" builtinId="9" hidden="1"/>
    <cellStyle name="Followed Hyperlink" xfId="6189" builtinId="9" hidden="1"/>
    <cellStyle name="Followed Hyperlink" xfId="6191" builtinId="9" hidden="1"/>
    <cellStyle name="Followed Hyperlink" xfId="6193" builtinId="9" hidden="1"/>
    <cellStyle name="Followed Hyperlink" xfId="6195" builtinId="9" hidden="1"/>
    <cellStyle name="Followed Hyperlink" xfId="6197" builtinId="9" hidden="1"/>
    <cellStyle name="Followed Hyperlink" xfId="6199" builtinId="9" hidden="1"/>
    <cellStyle name="Followed Hyperlink" xfId="6201" builtinId="9" hidden="1"/>
    <cellStyle name="Followed Hyperlink" xfId="6203" builtinId="9" hidden="1"/>
    <cellStyle name="Followed Hyperlink" xfId="6205" builtinId="9" hidden="1"/>
    <cellStyle name="Followed Hyperlink" xfId="6207" builtinId="9" hidden="1"/>
    <cellStyle name="Followed Hyperlink" xfId="6209" builtinId="9" hidden="1"/>
    <cellStyle name="Followed Hyperlink" xfId="6211" builtinId="9" hidden="1"/>
    <cellStyle name="Followed Hyperlink" xfId="6213" builtinId="9" hidden="1"/>
    <cellStyle name="Followed Hyperlink" xfId="6215" builtinId="9" hidden="1"/>
    <cellStyle name="Followed Hyperlink" xfId="6217" builtinId="9" hidden="1"/>
    <cellStyle name="Followed Hyperlink" xfId="6219" builtinId="9" hidden="1"/>
    <cellStyle name="Followed Hyperlink" xfId="6221" builtinId="9" hidden="1"/>
    <cellStyle name="Followed Hyperlink" xfId="6223" builtinId="9" hidden="1"/>
    <cellStyle name="Followed Hyperlink" xfId="6225" builtinId="9" hidden="1"/>
    <cellStyle name="Followed Hyperlink" xfId="6227" builtinId="9" hidden="1"/>
    <cellStyle name="Followed Hyperlink" xfId="6229" builtinId="9" hidden="1"/>
    <cellStyle name="Followed Hyperlink" xfId="6231" builtinId="9" hidden="1"/>
    <cellStyle name="Followed Hyperlink" xfId="6233" builtinId="9" hidden="1"/>
    <cellStyle name="Followed Hyperlink" xfId="6235" builtinId="9" hidden="1"/>
    <cellStyle name="Followed Hyperlink" xfId="6237" builtinId="9" hidden="1"/>
    <cellStyle name="Followed Hyperlink" xfId="6239" builtinId="9" hidden="1"/>
    <cellStyle name="Followed Hyperlink" xfId="6241" builtinId="9" hidden="1"/>
    <cellStyle name="Followed Hyperlink" xfId="6243" builtinId="9" hidden="1"/>
    <cellStyle name="Followed Hyperlink" xfId="6245" builtinId="9" hidden="1"/>
    <cellStyle name="Followed Hyperlink" xfId="6247" builtinId="9" hidden="1"/>
    <cellStyle name="Followed Hyperlink" xfId="6249" builtinId="9" hidden="1"/>
    <cellStyle name="Followed Hyperlink" xfId="6251" builtinId="9" hidden="1"/>
    <cellStyle name="Followed Hyperlink" xfId="6253" builtinId="9" hidden="1"/>
    <cellStyle name="Followed Hyperlink" xfId="6255" builtinId="9" hidden="1"/>
    <cellStyle name="Followed Hyperlink" xfId="6257" builtinId="9" hidden="1"/>
    <cellStyle name="Followed Hyperlink" xfId="6259" builtinId="9" hidden="1"/>
    <cellStyle name="Followed Hyperlink" xfId="6261" builtinId="9" hidden="1"/>
    <cellStyle name="Followed Hyperlink" xfId="6263" builtinId="9" hidden="1"/>
    <cellStyle name="Followed Hyperlink" xfId="6265" builtinId="9" hidden="1"/>
    <cellStyle name="Followed Hyperlink" xfId="6267" builtinId="9" hidden="1"/>
    <cellStyle name="Followed Hyperlink" xfId="6269" builtinId="9" hidden="1"/>
    <cellStyle name="Followed Hyperlink" xfId="6271" builtinId="9" hidden="1"/>
    <cellStyle name="Followed Hyperlink" xfId="6273" builtinId="9" hidden="1"/>
    <cellStyle name="Followed Hyperlink" xfId="6275" builtinId="9" hidden="1"/>
    <cellStyle name="Followed Hyperlink" xfId="6277" builtinId="9" hidden="1"/>
    <cellStyle name="Followed Hyperlink" xfId="6279" builtinId="9" hidden="1"/>
    <cellStyle name="Followed Hyperlink" xfId="6281" builtinId="9" hidden="1"/>
    <cellStyle name="Followed Hyperlink" xfId="6283" builtinId="9" hidden="1"/>
    <cellStyle name="Followed Hyperlink" xfId="6285" builtinId="9" hidden="1"/>
    <cellStyle name="Followed Hyperlink" xfId="6287" builtinId="9" hidden="1"/>
    <cellStyle name="Followed Hyperlink" xfId="6289" builtinId="9" hidden="1"/>
    <cellStyle name="Followed Hyperlink" xfId="6291" builtinId="9" hidden="1"/>
    <cellStyle name="Followed Hyperlink" xfId="6293" builtinId="9" hidden="1"/>
    <cellStyle name="Followed Hyperlink" xfId="6295" builtinId="9" hidden="1"/>
    <cellStyle name="Followed Hyperlink" xfId="6297" builtinId="9" hidden="1"/>
    <cellStyle name="Followed Hyperlink" xfId="6299" builtinId="9" hidden="1"/>
    <cellStyle name="Followed Hyperlink" xfId="6301" builtinId="9" hidden="1"/>
    <cellStyle name="Followed Hyperlink" xfId="6303" builtinId="9" hidden="1"/>
    <cellStyle name="Followed Hyperlink" xfId="6305" builtinId="9" hidden="1"/>
    <cellStyle name="Followed Hyperlink" xfId="6307" builtinId="9" hidden="1"/>
    <cellStyle name="Followed Hyperlink" xfId="6309" builtinId="9" hidden="1"/>
    <cellStyle name="Followed Hyperlink" xfId="6311" builtinId="9" hidden="1"/>
    <cellStyle name="Followed Hyperlink" xfId="6313" builtinId="9" hidden="1"/>
    <cellStyle name="Followed Hyperlink" xfId="6315" builtinId="9" hidden="1"/>
    <cellStyle name="Followed Hyperlink" xfId="6317" builtinId="9" hidden="1"/>
    <cellStyle name="Followed Hyperlink" xfId="6319" builtinId="9" hidden="1"/>
    <cellStyle name="Followed Hyperlink" xfId="6321" builtinId="9" hidden="1"/>
    <cellStyle name="Followed Hyperlink" xfId="6323" builtinId="9" hidden="1"/>
    <cellStyle name="Followed Hyperlink" xfId="6325" builtinId="9" hidden="1"/>
    <cellStyle name="Followed Hyperlink" xfId="6327" builtinId="9" hidden="1"/>
    <cellStyle name="Followed Hyperlink" xfId="6329" builtinId="9" hidden="1"/>
    <cellStyle name="Followed Hyperlink" xfId="6331" builtinId="9" hidden="1"/>
    <cellStyle name="Followed Hyperlink" xfId="6333" builtinId="9" hidden="1"/>
    <cellStyle name="Followed Hyperlink" xfId="6335" builtinId="9" hidden="1"/>
    <cellStyle name="Followed Hyperlink" xfId="6337" builtinId="9" hidden="1"/>
    <cellStyle name="Followed Hyperlink" xfId="6339" builtinId="9" hidden="1"/>
    <cellStyle name="Followed Hyperlink" xfId="6341" builtinId="9" hidden="1"/>
    <cellStyle name="Followed Hyperlink" xfId="6343" builtinId="9" hidden="1"/>
    <cellStyle name="Followed Hyperlink" xfId="6345" builtinId="9" hidden="1"/>
    <cellStyle name="Followed Hyperlink" xfId="6347" builtinId="9" hidden="1"/>
    <cellStyle name="Followed Hyperlink" xfId="6349" builtinId="9" hidden="1"/>
    <cellStyle name="Followed Hyperlink" xfId="6351" builtinId="9" hidden="1"/>
    <cellStyle name="Followed Hyperlink" xfId="6353" builtinId="9" hidden="1"/>
    <cellStyle name="Followed Hyperlink" xfId="6355" builtinId="9" hidden="1"/>
    <cellStyle name="Followed Hyperlink" xfId="6357" builtinId="9" hidden="1"/>
    <cellStyle name="Followed Hyperlink" xfId="6359" builtinId="9" hidden="1"/>
    <cellStyle name="Followed Hyperlink" xfId="6361" builtinId="9" hidden="1"/>
    <cellStyle name="Followed Hyperlink" xfId="6363" builtinId="9" hidden="1"/>
    <cellStyle name="Followed Hyperlink" xfId="6365" builtinId="9" hidden="1"/>
    <cellStyle name="Followed Hyperlink" xfId="6367" builtinId="9" hidden="1"/>
    <cellStyle name="Followed Hyperlink" xfId="6369" builtinId="9" hidden="1"/>
    <cellStyle name="Followed Hyperlink" xfId="6371" builtinId="9" hidden="1"/>
    <cellStyle name="Followed Hyperlink" xfId="6373" builtinId="9" hidden="1"/>
    <cellStyle name="Followed Hyperlink" xfId="6375" builtinId="9" hidden="1"/>
    <cellStyle name="Followed Hyperlink" xfId="6377" builtinId="9" hidden="1"/>
    <cellStyle name="Followed Hyperlink" xfId="6379" builtinId="9" hidden="1"/>
    <cellStyle name="Followed Hyperlink" xfId="6381" builtinId="9" hidden="1"/>
    <cellStyle name="Followed Hyperlink" xfId="6383" builtinId="9" hidden="1"/>
    <cellStyle name="Followed Hyperlink" xfId="6385" builtinId="9" hidden="1"/>
    <cellStyle name="Followed Hyperlink" xfId="6387" builtinId="9" hidden="1"/>
    <cellStyle name="Followed Hyperlink" xfId="6389" builtinId="9" hidden="1"/>
    <cellStyle name="Followed Hyperlink" xfId="6391" builtinId="9" hidden="1"/>
    <cellStyle name="Followed Hyperlink" xfId="6393" builtinId="9" hidden="1"/>
    <cellStyle name="Followed Hyperlink" xfId="6395" builtinId="9" hidden="1"/>
    <cellStyle name="Followed Hyperlink" xfId="6397" builtinId="9" hidden="1"/>
    <cellStyle name="Followed Hyperlink" xfId="6399" builtinId="9" hidden="1"/>
    <cellStyle name="Followed Hyperlink" xfId="6401" builtinId="9" hidden="1"/>
    <cellStyle name="Followed Hyperlink" xfId="6403" builtinId="9" hidden="1"/>
    <cellStyle name="Followed Hyperlink" xfId="6405" builtinId="9" hidden="1"/>
    <cellStyle name="Followed Hyperlink" xfId="6407" builtinId="9" hidden="1"/>
    <cellStyle name="Followed Hyperlink" xfId="6409" builtinId="9" hidden="1"/>
    <cellStyle name="Followed Hyperlink" xfId="6411" builtinId="9" hidden="1"/>
    <cellStyle name="Followed Hyperlink" xfId="6413" builtinId="9" hidden="1"/>
    <cellStyle name="Followed Hyperlink" xfId="6415" builtinId="9" hidden="1"/>
    <cellStyle name="Followed Hyperlink" xfId="6417" builtinId="9" hidden="1"/>
    <cellStyle name="Followed Hyperlink" xfId="6419" builtinId="9" hidden="1"/>
    <cellStyle name="Followed Hyperlink" xfId="6421" builtinId="9" hidden="1"/>
    <cellStyle name="Followed Hyperlink" xfId="6423" builtinId="9" hidden="1"/>
    <cellStyle name="Followed Hyperlink" xfId="6425" builtinId="9" hidden="1"/>
    <cellStyle name="Followed Hyperlink" xfId="6427" builtinId="9" hidden="1"/>
    <cellStyle name="Followed Hyperlink" xfId="6429" builtinId="9" hidden="1"/>
    <cellStyle name="Followed Hyperlink" xfId="6431" builtinId="9" hidden="1"/>
    <cellStyle name="Followed Hyperlink" xfId="6433" builtinId="9" hidden="1"/>
    <cellStyle name="Followed Hyperlink" xfId="6435" builtinId="9" hidden="1"/>
    <cellStyle name="Followed Hyperlink" xfId="6437" builtinId="9" hidden="1"/>
    <cellStyle name="Followed Hyperlink" xfId="6439" builtinId="9" hidden="1"/>
    <cellStyle name="Followed Hyperlink" xfId="6441" builtinId="9" hidden="1"/>
    <cellStyle name="Followed Hyperlink" xfId="6443" builtinId="9" hidden="1"/>
    <cellStyle name="Followed Hyperlink" xfId="6445" builtinId="9" hidden="1"/>
    <cellStyle name="Followed Hyperlink" xfId="6447" builtinId="9" hidden="1"/>
    <cellStyle name="Followed Hyperlink" xfId="6449" builtinId="9" hidden="1"/>
    <cellStyle name="Followed Hyperlink" xfId="6451" builtinId="9" hidden="1"/>
    <cellStyle name="Followed Hyperlink" xfId="6453" builtinId="9" hidden="1"/>
    <cellStyle name="Followed Hyperlink" xfId="6455" builtinId="9" hidden="1"/>
    <cellStyle name="Followed Hyperlink" xfId="6457" builtinId="9" hidden="1"/>
    <cellStyle name="Followed Hyperlink" xfId="6459" builtinId="9" hidden="1"/>
    <cellStyle name="Followed Hyperlink" xfId="6461" builtinId="9" hidden="1"/>
    <cellStyle name="Followed Hyperlink" xfId="6463" builtinId="9" hidden="1"/>
    <cellStyle name="Followed Hyperlink" xfId="6465" builtinId="9" hidden="1"/>
    <cellStyle name="Followed Hyperlink" xfId="6467" builtinId="9" hidden="1"/>
    <cellStyle name="Followed Hyperlink" xfId="6469" builtinId="9" hidden="1"/>
    <cellStyle name="Followed Hyperlink" xfId="6471" builtinId="9" hidden="1"/>
    <cellStyle name="Followed Hyperlink" xfId="6473" builtinId="9" hidden="1"/>
    <cellStyle name="Followed Hyperlink" xfId="6475" builtinId="9" hidden="1"/>
    <cellStyle name="Followed Hyperlink" xfId="6477" builtinId="9" hidden="1"/>
    <cellStyle name="Followed Hyperlink" xfId="6479" builtinId="9" hidden="1"/>
    <cellStyle name="Followed Hyperlink" xfId="6481" builtinId="9" hidden="1"/>
    <cellStyle name="Followed Hyperlink" xfId="6483" builtinId="9" hidden="1"/>
    <cellStyle name="Followed Hyperlink" xfId="6485" builtinId="9" hidden="1"/>
    <cellStyle name="Followed Hyperlink" xfId="6487" builtinId="9" hidden="1"/>
    <cellStyle name="Followed Hyperlink" xfId="6489" builtinId="9" hidden="1"/>
    <cellStyle name="Followed Hyperlink" xfId="6491" builtinId="9" hidden="1"/>
    <cellStyle name="Followed Hyperlink" xfId="6493" builtinId="9" hidden="1"/>
    <cellStyle name="Followed Hyperlink" xfId="6495" builtinId="9" hidden="1"/>
    <cellStyle name="Followed Hyperlink" xfId="6497" builtinId="9" hidden="1"/>
    <cellStyle name="Followed Hyperlink" xfId="6499" builtinId="9" hidden="1"/>
    <cellStyle name="Followed Hyperlink" xfId="6501" builtinId="9" hidden="1"/>
    <cellStyle name="Followed Hyperlink" xfId="6503" builtinId="9" hidden="1"/>
    <cellStyle name="Followed Hyperlink" xfId="6505" builtinId="9" hidden="1"/>
    <cellStyle name="Followed Hyperlink" xfId="6507" builtinId="9" hidden="1"/>
    <cellStyle name="Followed Hyperlink" xfId="6509" builtinId="9" hidden="1"/>
    <cellStyle name="Followed Hyperlink" xfId="6511" builtinId="9" hidden="1"/>
    <cellStyle name="Followed Hyperlink" xfId="6513" builtinId="9" hidden="1"/>
    <cellStyle name="Followed Hyperlink" xfId="6515" builtinId="9" hidden="1"/>
    <cellStyle name="Followed Hyperlink" xfId="6517" builtinId="9" hidden="1"/>
    <cellStyle name="Followed Hyperlink" xfId="6519" builtinId="9" hidden="1"/>
    <cellStyle name="Followed Hyperlink" xfId="6521" builtinId="9" hidden="1"/>
    <cellStyle name="Followed Hyperlink" xfId="6523" builtinId="9" hidden="1"/>
    <cellStyle name="Followed Hyperlink" xfId="6525" builtinId="9" hidden="1"/>
    <cellStyle name="Followed Hyperlink" xfId="6527" builtinId="9" hidden="1"/>
    <cellStyle name="Followed Hyperlink" xfId="6529" builtinId="9" hidden="1"/>
    <cellStyle name="Followed Hyperlink" xfId="6531" builtinId="9" hidden="1"/>
    <cellStyle name="Followed Hyperlink" xfId="6533" builtinId="9" hidden="1"/>
    <cellStyle name="Followed Hyperlink" xfId="6535" builtinId="9" hidden="1"/>
    <cellStyle name="Followed Hyperlink" xfId="6537" builtinId="9" hidden="1"/>
    <cellStyle name="Followed Hyperlink" xfId="6539" builtinId="9" hidden="1"/>
    <cellStyle name="Followed Hyperlink" xfId="6541" builtinId="9" hidden="1"/>
    <cellStyle name="Followed Hyperlink" xfId="6543" builtinId="9" hidden="1"/>
    <cellStyle name="Followed Hyperlink" xfId="6545" builtinId="9" hidden="1"/>
    <cellStyle name="Followed Hyperlink" xfId="6547" builtinId="9" hidden="1"/>
    <cellStyle name="Followed Hyperlink" xfId="6549" builtinId="9" hidden="1"/>
    <cellStyle name="Followed Hyperlink" xfId="6551" builtinId="9" hidden="1"/>
    <cellStyle name="Followed Hyperlink" xfId="6553" builtinId="9" hidden="1"/>
    <cellStyle name="Followed Hyperlink" xfId="6555" builtinId="9" hidden="1"/>
    <cellStyle name="Followed Hyperlink" xfId="6557" builtinId="9" hidden="1"/>
    <cellStyle name="Followed Hyperlink" xfId="6559" builtinId="9" hidden="1"/>
    <cellStyle name="Followed Hyperlink" xfId="6561" builtinId="9" hidden="1"/>
    <cellStyle name="Followed Hyperlink" xfId="6563" builtinId="9" hidden="1"/>
    <cellStyle name="Followed Hyperlink" xfId="6565" builtinId="9" hidden="1"/>
    <cellStyle name="Followed Hyperlink" xfId="6567" builtinId="9" hidden="1"/>
    <cellStyle name="Followed Hyperlink" xfId="6569" builtinId="9" hidden="1"/>
    <cellStyle name="Followed Hyperlink" xfId="6571" builtinId="9" hidden="1"/>
    <cellStyle name="Followed Hyperlink" xfId="6573" builtinId="9" hidden="1"/>
    <cellStyle name="Followed Hyperlink" xfId="6575" builtinId="9" hidden="1"/>
    <cellStyle name="Followed Hyperlink" xfId="6577" builtinId="9" hidden="1"/>
    <cellStyle name="Followed Hyperlink" xfId="6579" builtinId="9" hidden="1"/>
    <cellStyle name="Followed Hyperlink" xfId="6581" builtinId="9" hidden="1"/>
    <cellStyle name="Followed Hyperlink" xfId="6583" builtinId="9" hidden="1"/>
    <cellStyle name="Followed Hyperlink" xfId="6585" builtinId="9" hidden="1"/>
    <cellStyle name="Followed Hyperlink" xfId="6587" builtinId="9" hidden="1"/>
    <cellStyle name="Followed Hyperlink" xfId="6589" builtinId="9" hidden="1"/>
    <cellStyle name="Followed Hyperlink" xfId="6591" builtinId="9" hidden="1"/>
    <cellStyle name="Followed Hyperlink" xfId="6593" builtinId="9" hidden="1"/>
    <cellStyle name="Followed Hyperlink" xfId="6595" builtinId="9" hidden="1"/>
    <cellStyle name="Followed Hyperlink" xfId="6597" builtinId="9" hidden="1"/>
    <cellStyle name="Followed Hyperlink" xfId="6599" builtinId="9" hidden="1"/>
    <cellStyle name="Followed Hyperlink" xfId="6601" builtinId="9" hidden="1"/>
    <cellStyle name="Followed Hyperlink" xfId="6603" builtinId="9" hidden="1"/>
    <cellStyle name="Followed Hyperlink" xfId="6605" builtinId="9" hidden="1"/>
    <cellStyle name="Followed Hyperlink" xfId="6607" builtinId="9" hidden="1"/>
    <cellStyle name="Followed Hyperlink" xfId="6609" builtinId="9" hidden="1"/>
    <cellStyle name="Followed Hyperlink" xfId="6611" builtinId="9" hidden="1"/>
    <cellStyle name="Followed Hyperlink" xfId="6613" builtinId="9" hidden="1"/>
    <cellStyle name="Followed Hyperlink" xfId="6615" builtinId="9" hidden="1"/>
    <cellStyle name="Followed Hyperlink" xfId="6617" builtinId="9" hidden="1"/>
    <cellStyle name="Followed Hyperlink" xfId="6619" builtinId="9" hidden="1"/>
    <cellStyle name="Followed Hyperlink" xfId="6621" builtinId="9" hidden="1"/>
    <cellStyle name="Followed Hyperlink" xfId="6623" builtinId="9" hidden="1"/>
    <cellStyle name="Followed Hyperlink" xfId="6625" builtinId="9" hidden="1"/>
    <cellStyle name="Followed Hyperlink" xfId="6627" builtinId="9" hidden="1"/>
    <cellStyle name="Followed Hyperlink" xfId="6629" builtinId="9" hidden="1"/>
    <cellStyle name="Followed Hyperlink" xfId="6631" builtinId="9" hidden="1"/>
    <cellStyle name="Followed Hyperlink" xfId="6633" builtinId="9" hidden="1"/>
    <cellStyle name="Followed Hyperlink" xfId="6635" builtinId="9" hidden="1"/>
    <cellStyle name="Followed Hyperlink" xfId="6637" builtinId="9" hidden="1"/>
    <cellStyle name="Followed Hyperlink" xfId="6639" builtinId="9" hidden="1"/>
    <cellStyle name="Followed Hyperlink" xfId="6641" builtinId="9" hidden="1"/>
    <cellStyle name="Followed Hyperlink" xfId="6643" builtinId="9" hidden="1"/>
    <cellStyle name="Followed Hyperlink" xfId="6645" builtinId="9" hidden="1"/>
    <cellStyle name="Followed Hyperlink" xfId="6647" builtinId="9" hidden="1"/>
    <cellStyle name="Followed Hyperlink" xfId="6649" builtinId="9" hidden="1"/>
    <cellStyle name="Followed Hyperlink" xfId="6651" builtinId="9" hidden="1"/>
    <cellStyle name="Followed Hyperlink" xfId="6653" builtinId="9" hidden="1"/>
    <cellStyle name="Followed Hyperlink" xfId="6655" builtinId="9" hidden="1"/>
    <cellStyle name="Followed Hyperlink" xfId="6657" builtinId="9" hidden="1"/>
    <cellStyle name="Followed Hyperlink" xfId="6659" builtinId="9" hidden="1"/>
    <cellStyle name="Followed Hyperlink" xfId="6661" builtinId="9" hidden="1"/>
    <cellStyle name="Followed Hyperlink" xfId="6663" builtinId="9" hidden="1"/>
    <cellStyle name="Followed Hyperlink" xfId="6665" builtinId="9" hidden="1"/>
    <cellStyle name="Followed Hyperlink" xfId="6667" builtinId="9" hidden="1"/>
    <cellStyle name="Followed Hyperlink" xfId="6669" builtinId="9" hidden="1"/>
    <cellStyle name="Followed Hyperlink" xfId="6671" builtinId="9" hidden="1"/>
    <cellStyle name="Followed Hyperlink" xfId="6673" builtinId="9" hidden="1"/>
    <cellStyle name="Followed Hyperlink" xfId="6675" builtinId="9" hidden="1"/>
    <cellStyle name="Followed Hyperlink" xfId="6677" builtinId="9" hidden="1"/>
    <cellStyle name="Followed Hyperlink" xfId="6679" builtinId="9" hidden="1"/>
    <cellStyle name="Followed Hyperlink" xfId="6681" builtinId="9" hidden="1"/>
    <cellStyle name="Followed Hyperlink" xfId="6683" builtinId="9" hidden="1"/>
    <cellStyle name="Followed Hyperlink" xfId="6685" builtinId="9" hidden="1"/>
    <cellStyle name="Followed Hyperlink" xfId="6687" builtinId="9" hidden="1"/>
    <cellStyle name="Followed Hyperlink" xfId="6689" builtinId="9" hidden="1"/>
    <cellStyle name="Followed Hyperlink" xfId="6691" builtinId="9" hidden="1"/>
    <cellStyle name="Followed Hyperlink" xfId="6693" builtinId="9" hidden="1"/>
    <cellStyle name="Followed Hyperlink" xfId="6695" builtinId="9" hidden="1"/>
    <cellStyle name="Followed Hyperlink" xfId="6697" builtinId="9" hidden="1"/>
    <cellStyle name="Followed Hyperlink" xfId="6699" builtinId="9" hidden="1"/>
    <cellStyle name="Followed Hyperlink" xfId="6701" builtinId="9" hidden="1"/>
    <cellStyle name="Followed Hyperlink" xfId="6703" builtinId="9" hidden="1"/>
    <cellStyle name="Followed Hyperlink" xfId="6705" builtinId="9" hidden="1"/>
    <cellStyle name="Followed Hyperlink" xfId="6707" builtinId="9" hidden="1"/>
    <cellStyle name="Followed Hyperlink" xfId="6709" builtinId="9" hidden="1"/>
    <cellStyle name="Followed Hyperlink" xfId="6711" builtinId="9" hidden="1"/>
    <cellStyle name="Followed Hyperlink" xfId="6713" builtinId="9" hidden="1"/>
    <cellStyle name="Followed Hyperlink" xfId="6715" builtinId="9" hidden="1"/>
    <cellStyle name="Followed Hyperlink" xfId="6717" builtinId="9" hidden="1"/>
    <cellStyle name="Followed Hyperlink" xfId="6719" builtinId="9" hidden="1"/>
    <cellStyle name="Followed Hyperlink" xfId="6721" builtinId="9" hidden="1"/>
    <cellStyle name="Followed Hyperlink" xfId="6723" builtinId="9" hidden="1"/>
    <cellStyle name="Followed Hyperlink" xfId="6725" builtinId="9" hidden="1"/>
    <cellStyle name="Followed Hyperlink" xfId="6727" builtinId="9" hidden="1"/>
    <cellStyle name="Followed Hyperlink" xfId="6729" builtinId="9" hidden="1"/>
    <cellStyle name="Followed Hyperlink" xfId="6731" builtinId="9" hidden="1"/>
    <cellStyle name="Followed Hyperlink" xfId="6733" builtinId="9" hidden="1"/>
    <cellStyle name="Followed Hyperlink" xfId="6735" builtinId="9" hidden="1"/>
    <cellStyle name="Followed Hyperlink" xfId="6737" builtinId="9" hidden="1"/>
    <cellStyle name="Followed Hyperlink" xfId="6739" builtinId="9" hidden="1"/>
    <cellStyle name="Followed Hyperlink" xfId="6741" builtinId="9" hidden="1"/>
    <cellStyle name="Followed Hyperlink" xfId="6743" builtinId="9" hidden="1"/>
    <cellStyle name="Followed Hyperlink" xfId="6745" builtinId="9" hidden="1"/>
    <cellStyle name="Followed Hyperlink" xfId="6747" builtinId="9" hidden="1"/>
    <cellStyle name="Followed Hyperlink" xfId="6749" builtinId="9" hidden="1"/>
    <cellStyle name="Followed Hyperlink" xfId="6751" builtinId="9" hidden="1"/>
    <cellStyle name="Followed Hyperlink" xfId="6753" builtinId="9" hidden="1"/>
    <cellStyle name="Followed Hyperlink" xfId="6755" builtinId="9" hidden="1"/>
    <cellStyle name="Followed Hyperlink" xfId="6757" builtinId="9" hidden="1"/>
    <cellStyle name="Followed Hyperlink" xfId="6759" builtinId="9" hidden="1"/>
    <cellStyle name="Followed Hyperlink" xfId="6761" builtinId="9" hidden="1"/>
    <cellStyle name="Followed Hyperlink" xfId="6763" builtinId="9" hidden="1"/>
    <cellStyle name="Followed Hyperlink" xfId="6765" builtinId="9" hidden="1"/>
    <cellStyle name="Followed Hyperlink" xfId="6767" builtinId="9" hidden="1"/>
    <cellStyle name="Followed Hyperlink" xfId="6769" builtinId="9" hidden="1"/>
    <cellStyle name="Followed Hyperlink" xfId="6771" builtinId="9" hidden="1"/>
    <cellStyle name="Followed Hyperlink" xfId="6773" builtinId="9" hidden="1"/>
    <cellStyle name="Followed Hyperlink" xfId="6775" builtinId="9" hidden="1"/>
    <cellStyle name="Followed Hyperlink" xfId="6777" builtinId="9" hidden="1"/>
    <cellStyle name="Followed Hyperlink" xfId="6779" builtinId="9" hidden="1"/>
    <cellStyle name="Followed Hyperlink" xfId="6781" builtinId="9" hidden="1"/>
    <cellStyle name="Followed Hyperlink" xfId="6783" builtinId="9" hidden="1"/>
    <cellStyle name="Followed Hyperlink" xfId="6785" builtinId="9" hidden="1"/>
    <cellStyle name="Followed Hyperlink" xfId="6787" builtinId="9" hidden="1"/>
    <cellStyle name="Followed Hyperlink" xfId="6789" builtinId="9" hidden="1"/>
    <cellStyle name="Followed Hyperlink" xfId="6791" builtinId="9" hidden="1"/>
    <cellStyle name="Followed Hyperlink" xfId="6793" builtinId="9" hidden="1"/>
    <cellStyle name="Followed Hyperlink" xfId="6795" builtinId="9" hidden="1"/>
    <cellStyle name="Followed Hyperlink" xfId="6797" builtinId="9" hidden="1"/>
    <cellStyle name="Followed Hyperlink" xfId="6799" builtinId="9" hidden="1"/>
    <cellStyle name="Followed Hyperlink" xfId="6801" builtinId="9" hidden="1"/>
    <cellStyle name="Followed Hyperlink" xfId="6803" builtinId="9" hidden="1"/>
    <cellStyle name="Followed Hyperlink" xfId="6805" builtinId="9" hidden="1"/>
    <cellStyle name="Followed Hyperlink" xfId="6807" builtinId="9" hidden="1"/>
    <cellStyle name="Followed Hyperlink" xfId="6809" builtinId="9" hidden="1"/>
    <cellStyle name="Followed Hyperlink" xfId="6811" builtinId="9" hidden="1"/>
    <cellStyle name="Followed Hyperlink" xfId="6813" builtinId="9" hidden="1"/>
    <cellStyle name="Followed Hyperlink" xfId="6815" builtinId="9" hidden="1"/>
    <cellStyle name="Followed Hyperlink" xfId="6817" builtinId="9" hidden="1"/>
    <cellStyle name="Followed Hyperlink" xfId="6819" builtinId="9" hidden="1"/>
    <cellStyle name="Followed Hyperlink" xfId="6821" builtinId="9" hidden="1"/>
    <cellStyle name="Followed Hyperlink" xfId="6823" builtinId="9" hidden="1"/>
    <cellStyle name="Followed Hyperlink" xfId="6825" builtinId="9" hidden="1"/>
    <cellStyle name="Followed Hyperlink" xfId="6827" builtinId="9" hidden="1"/>
    <cellStyle name="Followed Hyperlink" xfId="6829" builtinId="9" hidden="1"/>
    <cellStyle name="Followed Hyperlink" xfId="6831" builtinId="9" hidden="1"/>
    <cellStyle name="Followed Hyperlink" xfId="6833" builtinId="9" hidden="1"/>
    <cellStyle name="Followed Hyperlink" xfId="6835" builtinId="9" hidden="1"/>
    <cellStyle name="Followed Hyperlink" xfId="6837" builtinId="9" hidden="1"/>
    <cellStyle name="Followed Hyperlink" xfId="6839" builtinId="9" hidden="1"/>
    <cellStyle name="Followed Hyperlink" xfId="6841" builtinId="9" hidden="1"/>
    <cellStyle name="Followed Hyperlink" xfId="6843" builtinId="9" hidden="1"/>
    <cellStyle name="Followed Hyperlink" xfId="6845" builtinId="9" hidden="1"/>
    <cellStyle name="Followed Hyperlink" xfId="6847" builtinId="9" hidden="1"/>
    <cellStyle name="Followed Hyperlink" xfId="6849" builtinId="9" hidden="1"/>
    <cellStyle name="Followed Hyperlink" xfId="6851" builtinId="9" hidden="1"/>
    <cellStyle name="Followed Hyperlink" xfId="6853" builtinId="9" hidden="1"/>
    <cellStyle name="Followed Hyperlink" xfId="6855" builtinId="9" hidden="1"/>
    <cellStyle name="Followed Hyperlink" xfId="6857" builtinId="9" hidden="1"/>
    <cellStyle name="Followed Hyperlink" xfId="6859" builtinId="9" hidden="1"/>
    <cellStyle name="Followed Hyperlink" xfId="6861" builtinId="9" hidden="1"/>
    <cellStyle name="Followed Hyperlink" xfId="6863" builtinId="9" hidden="1"/>
    <cellStyle name="Followed Hyperlink" xfId="6865" builtinId="9" hidden="1"/>
    <cellStyle name="Followed Hyperlink" xfId="6867" builtinId="9" hidden="1"/>
    <cellStyle name="Followed Hyperlink" xfId="6869" builtinId="9" hidden="1"/>
    <cellStyle name="Followed Hyperlink" xfId="6871" builtinId="9" hidden="1"/>
    <cellStyle name="Followed Hyperlink" xfId="6873" builtinId="9" hidden="1"/>
    <cellStyle name="Followed Hyperlink" xfId="6875" builtinId="9" hidden="1"/>
    <cellStyle name="Followed Hyperlink" xfId="6877" builtinId="9" hidden="1"/>
    <cellStyle name="Followed Hyperlink" xfId="6879" builtinId="9" hidden="1"/>
    <cellStyle name="Followed Hyperlink" xfId="6881" builtinId="9" hidden="1"/>
    <cellStyle name="Followed Hyperlink" xfId="6883" builtinId="9" hidden="1"/>
    <cellStyle name="Followed Hyperlink" xfId="6885" builtinId="9" hidden="1"/>
    <cellStyle name="Followed Hyperlink" xfId="6887" builtinId="9" hidden="1"/>
    <cellStyle name="Followed Hyperlink" xfId="6889" builtinId="9" hidden="1"/>
    <cellStyle name="Followed Hyperlink" xfId="6891" builtinId="9" hidden="1"/>
    <cellStyle name="Followed Hyperlink" xfId="6893" builtinId="9" hidden="1"/>
    <cellStyle name="Followed Hyperlink" xfId="6895" builtinId="9" hidden="1"/>
    <cellStyle name="Followed Hyperlink" xfId="6897" builtinId="9" hidden="1"/>
    <cellStyle name="Followed Hyperlink" xfId="6899" builtinId="9" hidden="1"/>
    <cellStyle name="Followed Hyperlink" xfId="6901" builtinId="9" hidden="1"/>
    <cellStyle name="Followed Hyperlink" xfId="6903" builtinId="9" hidden="1"/>
    <cellStyle name="Followed Hyperlink" xfId="6905" builtinId="9" hidden="1"/>
    <cellStyle name="Followed Hyperlink" xfId="6907" builtinId="9" hidden="1"/>
    <cellStyle name="Followed Hyperlink" xfId="6909" builtinId="9" hidden="1"/>
    <cellStyle name="Followed Hyperlink" xfId="6911" builtinId="9" hidden="1"/>
    <cellStyle name="Followed Hyperlink" xfId="6913" builtinId="9" hidden="1"/>
    <cellStyle name="Followed Hyperlink" xfId="6915" builtinId="9" hidden="1"/>
    <cellStyle name="Followed Hyperlink" xfId="6917" builtinId="9" hidden="1"/>
    <cellStyle name="Followed Hyperlink" xfId="6919" builtinId="9" hidden="1"/>
    <cellStyle name="Followed Hyperlink" xfId="6921" builtinId="9" hidden="1"/>
    <cellStyle name="Followed Hyperlink" xfId="6923" builtinId="9" hidden="1"/>
    <cellStyle name="Followed Hyperlink" xfId="6925" builtinId="9" hidden="1"/>
    <cellStyle name="Followed Hyperlink" xfId="6927" builtinId="9" hidden="1"/>
    <cellStyle name="Followed Hyperlink" xfId="6929" builtinId="9" hidden="1"/>
    <cellStyle name="Followed Hyperlink" xfId="6931" builtinId="9" hidden="1"/>
    <cellStyle name="Followed Hyperlink" xfId="6933" builtinId="9" hidden="1"/>
    <cellStyle name="Followed Hyperlink" xfId="6935" builtinId="9" hidden="1"/>
    <cellStyle name="Followed Hyperlink" xfId="6937" builtinId="9" hidden="1"/>
    <cellStyle name="Followed Hyperlink" xfId="6939" builtinId="9" hidden="1"/>
    <cellStyle name="Followed Hyperlink" xfId="6941" builtinId="9" hidden="1"/>
    <cellStyle name="Followed Hyperlink" xfId="6943" builtinId="9" hidden="1"/>
    <cellStyle name="Followed Hyperlink" xfId="6945" builtinId="9" hidden="1"/>
    <cellStyle name="Followed Hyperlink" xfId="6947" builtinId="9" hidden="1"/>
    <cellStyle name="Followed Hyperlink" xfId="6949" builtinId="9" hidden="1"/>
    <cellStyle name="Followed Hyperlink" xfId="6951" builtinId="9" hidden="1"/>
    <cellStyle name="Followed Hyperlink" xfId="6953" builtinId="9" hidden="1"/>
    <cellStyle name="Followed Hyperlink" xfId="6955" builtinId="9" hidden="1"/>
    <cellStyle name="Followed Hyperlink" xfId="6957" builtinId="9" hidden="1"/>
    <cellStyle name="Followed Hyperlink" xfId="6959" builtinId="9" hidden="1"/>
    <cellStyle name="Followed Hyperlink" xfId="6961" builtinId="9" hidden="1"/>
    <cellStyle name="Followed Hyperlink" xfId="6963" builtinId="9" hidden="1"/>
    <cellStyle name="Followed Hyperlink" xfId="6965" builtinId="9" hidden="1"/>
    <cellStyle name="Followed Hyperlink" xfId="6967" builtinId="9" hidden="1"/>
    <cellStyle name="Followed Hyperlink" xfId="6969" builtinId="9" hidden="1"/>
    <cellStyle name="Followed Hyperlink" xfId="6971" builtinId="9" hidden="1"/>
    <cellStyle name="Followed Hyperlink" xfId="6973" builtinId="9" hidden="1"/>
    <cellStyle name="Followed Hyperlink" xfId="6975" builtinId="9" hidden="1"/>
    <cellStyle name="Followed Hyperlink" xfId="6977" builtinId="9" hidden="1"/>
    <cellStyle name="Followed Hyperlink" xfId="6979" builtinId="9" hidden="1"/>
    <cellStyle name="Followed Hyperlink" xfId="6981" builtinId="9" hidden="1"/>
    <cellStyle name="Followed Hyperlink" xfId="6983" builtinId="9" hidden="1"/>
    <cellStyle name="Followed Hyperlink" xfId="6985" builtinId="9" hidden="1"/>
    <cellStyle name="Followed Hyperlink" xfId="6987" builtinId="9" hidden="1"/>
    <cellStyle name="Followed Hyperlink" xfId="6989" builtinId="9" hidden="1"/>
    <cellStyle name="Followed Hyperlink" xfId="6991" builtinId="9" hidden="1"/>
    <cellStyle name="Followed Hyperlink" xfId="6993" builtinId="9" hidden="1"/>
    <cellStyle name="Followed Hyperlink" xfId="6995" builtinId="9" hidden="1"/>
    <cellStyle name="Followed Hyperlink" xfId="6997" builtinId="9" hidden="1"/>
    <cellStyle name="Followed Hyperlink" xfId="6999" builtinId="9" hidden="1"/>
    <cellStyle name="Followed Hyperlink" xfId="7001" builtinId="9" hidden="1"/>
    <cellStyle name="Followed Hyperlink" xfId="7003" builtinId="9" hidden="1"/>
    <cellStyle name="Followed Hyperlink" xfId="7005" builtinId="9" hidden="1"/>
    <cellStyle name="Followed Hyperlink" xfId="7007" builtinId="9" hidden="1"/>
    <cellStyle name="Followed Hyperlink" xfId="7009" builtinId="9" hidden="1"/>
    <cellStyle name="Followed Hyperlink" xfId="7011" builtinId="9" hidden="1"/>
    <cellStyle name="Followed Hyperlink" xfId="7013" builtinId="9" hidden="1"/>
    <cellStyle name="Followed Hyperlink" xfId="7015" builtinId="9" hidden="1"/>
    <cellStyle name="Followed Hyperlink" xfId="7017" builtinId="9" hidden="1"/>
    <cellStyle name="Followed Hyperlink" xfId="7019" builtinId="9" hidden="1"/>
    <cellStyle name="Followed Hyperlink" xfId="7021" builtinId="9" hidden="1"/>
    <cellStyle name="Followed Hyperlink" xfId="7023" builtinId="9" hidden="1"/>
    <cellStyle name="Followed Hyperlink" xfId="7025" builtinId="9" hidden="1"/>
    <cellStyle name="Followed Hyperlink" xfId="7027" builtinId="9" hidden="1"/>
    <cellStyle name="Followed Hyperlink" xfId="7029" builtinId="9" hidden="1"/>
    <cellStyle name="Followed Hyperlink" xfId="7031" builtinId="9" hidden="1"/>
    <cellStyle name="Followed Hyperlink" xfId="7033" builtinId="9" hidden="1"/>
    <cellStyle name="Followed Hyperlink" xfId="7035" builtinId="9" hidden="1"/>
    <cellStyle name="Followed Hyperlink" xfId="7037" builtinId="9" hidden="1"/>
    <cellStyle name="Followed Hyperlink" xfId="7039" builtinId="9" hidden="1"/>
    <cellStyle name="Followed Hyperlink" xfId="7041" builtinId="9" hidden="1"/>
    <cellStyle name="Followed Hyperlink" xfId="7043" builtinId="9" hidden="1"/>
    <cellStyle name="Followed Hyperlink" xfId="7045" builtinId="9" hidden="1"/>
    <cellStyle name="Followed Hyperlink" xfId="7047" builtinId="9" hidden="1"/>
    <cellStyle name="Followed Hyperlink" xfId="7049" builtinId="9" hidden="1"/>
    <cellStyle name="Followed Hyperlink" xfId="7051" builtinId="9" hidden="1"/>
    <cellStyle name="Followed Hyperlink" xfId="7053" builtinId="9" hidden="1"/>
    <cellStyle name="Followed Hyperlink" xfId="7055" builtinId="9" hidden="1"/>
    <cellStyle name="Followed Hyperlink" xfId="7057" builtinId="9" hidden="1"/>
    <cellStyle name="Followed Hyperlink" xfId="7059" builtinId="9" hidden="1"/>
    <cellStyle name="Followed Hyperlink" xfId="7061" builtinId="9" hidden="1"/>
    <cellStyle name="Followed Hyperlink" xfId="7063" builtinId="9" hidden="1"/>
    <cellStyle name="Followed Hyperlink" xfId="7065" builtinId="9" hidden="1"/>
    <cellStyle name="Followed Hyperlink" xfId="7067" builtinId="9" hidden="1"/>
    <cellStyle name="Followed Hyperlink" xfId="7069" builtinId="9" hidden="1"/>
    <cellStyle name="Followed Hyperlink" xfId="7071" builtinId="9" hidden="1"/>
    <cellStyle name="Followed Hyperlink" xfId="7073" builtinId="9" hidden="1"/>
    <cellStyle name="Followed Hyperlink" xfId="7075" builtinId="9" hidden="1"/>
    <cellStyle name="Followed Hyperlink" xfId="7077" builtinId="9" hidden="1"/>
    <cellStyle name="Followed Hyperlink" xfId="7079" builtinId="9" hidden="1"/>
    <cellStyle name="Followed Hyperlink" xfId="7081" builtinId="9" hidden="1"/>
    <cellStyle name="Followed Hyperlink" xfId="7083" builtinId="9" hidden="1"/>
    <cellStyle name="Followed Hyperlink" xfId="7085" builtinId="9" hidden="1"/>
    <cellStyle name="Followed Hyperlink" xfId="7087" builtinId="9" hidden="1"/>
    <cellStyle name="Followed Hyperlink" xfId="7089" builtinId="9" hidden="1"/>
    <cellStyle name="Followed Hyperlink" xfId="7091" builtinId="9" hidden="1"/>
    <cellStyle name="Followed Hyperlink" xfId="7093" builtinId="9" hidden="1"/>
    <cellStyle name="Followed Hyperlink" xfId="7095" builtinId="9" hidden="1"/>
    <cellStyle name="Followed Hyperlink" xfId="7097" builtinId="9" hidden="1"/>
    <cellStyle name="Followed Hyperlink" xfId="7099" builtinId="9" hidden="1"/>
    <cellStyle name="Followed Hyperlink" xfId="7101" builtinId="9" hidden="1"/>
    <cellStyle name="Followed Hyperlink" xfId="7103" builtinId="9" hidden="1"/>
    <cellStyle name="Followed Hyperlink" xfId="7105" builtinId="9" hidden="1"/>
    <cellStyle name="Followed Hyperlink" xfId="7107" builtinId="9" hidden="1"/>
    <cellStyle name="Followed Hyperlink" xfId="7109" builtinId="9" hidden="1"/>
    <cellStyle name="Followed Hyperlink" xfId="7111" builtinId="9" hidden="1"/>
    <cellStyle name="Followed Hyperlink" xfId="7113" builtinId="9" hidden="1"/>
    <cellStyle name="Followed Hyperlink" xfId="7115" builtinId="9" hidden="1"/>
    <cellStyle name="Followed Hyperlink" xfId="7117" builtinId="9" hidden="1"/>
    <cellStyle name="Followed Hyperlink" xfId="7119" builtinId="9" hidden="1"/>
    <cellStyle name="Followed Hyperlink" xfId="7121" builtinId="9" hidden="1"/>
    <cellStyle name="Followed Hyperlink" xfId="7123" builtinId="9" hidden="1"/>
    <cellStyle name="Followed Hyperlink" xfId="7125" builtinId="9" hidden="1"/>
    <cellStyle name="Followed Hyperlink" xfId="7127" builtinId="9" hidden="1"/>
    <cellStyle name="Followed Hyperlink" xfId="7129" builtinId="9" hidden="1"/>
    <cellStyle name="Followed Hyperlink" xfId="7131" builtinId="9" hidden="1"/>
    <cellStyle name="Followed Hyperlink" xfId="7133" builtinId="9" hidden="1"/>
    <cellStyle name="Followed Hyperlink" xfId="7135" builtinId="9" hidden="1"/>
    <cellStyle name="Followed Hyperlink" xfId="7137" builtinId="9" hidden="1"/>
    <cellStyle name="Followed Hyperlink" xfId="7139" builtinId="9" hidden="1"/>
    <cellStyle name="Followed Hyperlink" xfId="7141" builtinId="9" hidden="1"/>
    <cellStyle name="Followed Hyperlink" xfId="7143" builtinId="9" hidden="1"/>
    <cellStyle name="Followed Hyperlink" xfId="7145" builtinId="9" hidden="1"/>
    <cellStyle name="Followed Hyperlink" xfId="7147" builtinId="9" hidden="1"/>
    <cellStyle name="Followed Hyperlink" xfId="7149" builtinId="9" hidden="1"/>
    <cellStyle name="Followed Hyperlink" xfId="7151" builtinId="9" hidden="1"/>
    <cellStyle name="Followed Hyperlink" xfId="7153" builtinId="9" hidden="1"/>
    <cellStyle name="Followed Hyperlink" xfId="7155" builtinId="9" hidden="1"/>
    <cellStyle name="Followed Hyperlink" xfId="7157" builtinId="9" hidden="1"/>
    <cellStyle name="Followed Hyperlink" xfId="7159" builtinId="9" hidden="1"/>
    <cellStyle name="Followed Hyperlink" xfId="7161" builtinId="9" hidden="1"/>
    <cellStyle name="Followed Hyperlink" xfId="7163" builtinId="9" hidden="1"/>
    <cellStyle name="Followed Hyperlink" xfId="7165" builtinId="9" hidden="1"/>
    <cellStyle name="Followed Hyperlink" xfId="7167" builtinId="9" hidden="1"/>
    <cellStyle name="Followed Hyperlink" xfId="7169" builtinId="9" hidden="1"/>
    <cellStyle name="Followed Hyperlink" xfId="7171" builtinId="9" hidden="1"/>
    <cellStyle name="Followed Hyperlink" xfId="7173" builtinId="9" hidden="1"/>
    <cellStyle name="Followed Hyperlink" xfId="7175" builtinId="9" hidden="1"/>
    <cellStyle name="Followed Hyperlink" xfId="7177" builtinId="9" hidden="1"/>
    <cellStyle name="Followed Hyperlink" xfId="7179" builtinId="9" hidden="1"/>
    <cellStyle name="Followed Hyperlink" xfId="7181" builtinId="9" hidden="1"/>
    <cellStyle name="Followed Hyperlink" xfId="7183" builtinId="9" hidden="1"/>
    <cellStyle name="Followed Hyperlink" xfId="7185" builtinId="9" hidden="1"/>
    <cellStyle name="Followed Hyperlink" xfId="7187" builtinId="9" hidden="1"/>
    <cellStyle name="Followed Hyperlink" xfId="7189" builtinId="9" hidden="1"/>
    <cellStyle name="Followed Hyperlink" xfId="7191" builtinId="9" hidden="1"/>
    <cellStyle name="Followed Hyperlink" xfId="7193" builtinId="9" hidden="1"/>
    <cellStyle name="Followed Hyperlink" xfId="7195" builtinId="9" hidden="1"/>
    <cellStyle name="Followed Hyperlink" xfId="7197" builtinId="9" hidden="1"/>
    <cellStyle name="Followed Hyperlink" xfId="7199" builtinId="9" hidden="1"/>
    <cellStyle name="Followed Hyperlink" xfId="7201" builtinId="9" hidden="1"/>
    <cellStyle name="Followed Hyperlink" xfId="7203" builtinId="9" hidden="1"/>
    <cellStyle name="Followed Hyperlink" xfId="7205" builtinId="9" hidden="1"/>
    <cellStyle name="Followed Hyperlink" xfId="7207" builtinId="9" hidden="1"/>
    <cellStyle name="Followed Hyperlink" xfId="7209" builtinId="9" hidden="1"/>
    <cellStyle name="Followed Hyperlink" xfId="7211" builtinId="9" hidden="1"/>
    <cellStyle name="Followed Hyperlink" xfId="7213" builtinId="9" hidden="1"/>
    <cellStyle name="Followed Hyperlink" xfId="7215" builtinId="9" hidden="1"/>
    <cellStyle name="Followed Hyperlink" xfId="7217" builtinId="9" hidden="1"/>
    <cellStyle name="Followed Hyperlink" xfId="7219" builtinId="9" hidden="1"/>
    <cellStyle name="Followed Hyperlink" xfId="7221" builtinId="9" hidden="1"/>
    <cellStyle name="Followed Hyperlink" xfId="7223" builtinId="9" hidden="1"/>
    <cellStyle name="Followed Hyperlink" xfId="7225" builtinId="9" hidden="1"/>
    <cellStyle name="Followed Hyperlink" xfId="7227" builtinId="9" hidden="1"/>
    <cellStyle name="Followed Hyperlink" xfId="7229" builtinId="9" hidden="1"/>
    <cellStyle name="Followed Hyperlink" xfId="7231" builtinId="9" hidden="1"/>
    <cellStyle name="Followed Hyperlink" xfId="7233" builtinId="9" hidden="1"/>
    <cellStyle name="Followed Hyperlink" xfId="7235" builtinId="9" hidden="1"/>
    <cellStyle name="Followed Hyperlink" xfId="7237" builtinId="9" hidden="1"/>
    <cellStyle name="Followed Hyperlink" xfId="7239" builtinId="9" hidden="1"/>
    <cellStyle name="Followed Hyperlink" xfId="7241" builtinId="9" hidden="1"/>
    <cellStyle name="Followed Hyperlink" xfId="7243" builtinId="9" hidden="1"/>
    <cellStyle name="Followed Hyperlink" xfId="7245" builtinId="9" hidden="1"/>
    <cellStyle name="Followed Hyperlink" xfId="7247" builtinId="9" hidden="1"/>
    <cellStyle name="Followed Hyperlink" xfId="7249" builtinId="9" hidden="1"/>
    <cellStyle name="Followed Hyperlink" xfId="7251" builtinId="9" hidden="1"/>
    <cellStyle name="Followed Hyperlink" xfId="7253" builtinId="9" hidden="1"/>
    <cellStyle name="Followed Hyperlink" xfId="7255" builtinId="9" hidden="1"/>
    <cellStyle name="Followed Hyperlink" xfId="7257" builtinId="9" hidden="1"/>
    <cellStyle name="Followed Hyperlink" xfId="7259" builtinId="9" hidden="1"/>
    <cellStyle name="Followed Hyperlink" xfId="7261" builtinId="9" hidden="1"/>
    <cellStyle name="Followed Hyperlink" xfId="7263"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2" builtinId="8" hidden="1"/>
    <cellStyle name="Hyperlink" xfId="1164" builtinId="8" hidden="1"/>
    <cellStyle name="Hyperlink" xfId="1166" builtinId="8" hidden="1"/>
    <cellStyle name="Hyperlink" xfId="1168" builtinId="8" hidden="1"/>
    <cellStyle name="Hyperlink" xfId="1170" builtinId="8" hidden="1"/>
    <cellStyle name="Hyperlink" xfId="1172" builtinId="8" hidden="1"/>
    <cellStyle name="Hyperlink" xfId="1174" builtinId="8" hidden="1"/>
    <cellStyle name="Hyperlink" xfId="1176" builtinId="8" hidden="1"/>
    <cellStyle name="Hyperlink" xfId="1178" builtinId="8" hidden="1"/>
    <cellStyle name="Hyperlink" xfId="1180" builtinId="8" hidden="1"/>
    <cellStyle name="Hyperlink" xfId="1182" builtinId="8" hidden="1"/>
    <cellStyle name="Hyperlink" xfId="1184" builtinId="8" hidden="1"/>
    <cellStyle name="Hyperlink" xfId="1186" builtinId="8" hidden="1"/>
    <cellStyle name="Hyperlink" xfId="1188" builtinId="8" hidden="1"/>
    <cellStyle name="Hyperlink" xfId="1190" builtinId="8" hidden="1"/>
    <cellStyle name="Hyperlink" xfId="1192" builtinId="8" hidden="1"/>
    <cellStyle name="Hyperlink" xfId="1194" builtinId="8" hidden="1"/>
    <cellStyle name="Hyperlink" xfId="1196" builtinId="8" hidden="1"/>
    <cellStyle name="Hyperlink" xfId="1198" builtinId="8" hidden="1"/>
    <cellStyle name="Hyperlink" xfId="1200" builtinId="8" hidden="1"/>
    <cellStyle name="Hyperlink" xfId="1202" builtinId="8" hidden="1"/>
    <cellStyle name="Hyperlink" xfId="1204" builtinId="8" hidden="1"/>
    <cellStyle name="Hyperlink" xfId="1206" builtinId="8" hidden="1"/>
    <cellStyle name="Hyperlink" xfId="1208" builtinId="8" hidden="1"/>
    <cellStyle name="Hyperlink" xfId="1210" builtinId="8" hidden="1"/>
    <cellStyle name="Hyperlink" xfId="1212" builtinId="8" hidden="1"/>
    <cellStyle name="Hyperlink" xfId="1214" builtinId="8" hidden="1"/>
    <cellStyle name="Hyperlink" xfId="1216" builtinId="8" hidden="1"/>
    <cellStyle name="Hyperlink" xfId="1218" builtinId="8" hidden="1"/>
    <cellStyle name="Hyperlink" xfId="1220" builtinId="8" hidden="1"/>
    <cellStyle name="Hyperlink" xfId="1222" builtinId="8" hidden="1"/>
    <cellStyle name="Hyperlink" xfId="1224" builtinId="8" hidden="1"/>
    <cellStyle name="Hyperlink" xfId="1226" builtinId="8" hidden="1"/>
    <cellStyle name="Hyperlink" xfId="1228" builtinId="8" hidden="1"/>
    <cellStyle name="Hyperlink" xfId="1230" builtinId="8" hidden="1"/>
    <cellStyle name="Hyperlink" xfId="1232" builtinId="8" hidden="1"/>
    <cellStyle name="Hyperlink" xfId="1234" builtinId="8" hidden="1"/>
    <cellStyle name="Hyperlink" xfId="1236" builtinId="8" hidden="1"/>
    <cellStyle name="Hyperlink" xfId="1238" builtinId="8" hidden="1"/>
    <cellStyle name="Hyperlink" xfId="1240" builtinId="8" hidden="1"/>
    <cellStyle name="Hyperlink" xfId="1242" builtinId="8" hidden="1"/>
    <cellStyle name="Hyperlink" xfId="1244" builtinId="8" hidden="1"/>
    <cellStyle name="Hyperlink" xfId="1246" builtinId="8" hidden="1"/>
    <cellStyle name="Hyperlink" xfId="1248" builtinId="8" hidden="1"/>
    <cellStyle name="Hyperlink" xfId="1250" builtinId="8" hidden="1"/>
    <cellStyle name="Hyperlink" xfId="1252" builtinId="8" hidden="1"/>
    <cellStyle name="Hyperlink" xfId="1254" builtinId="8" hidden="1"/>
    <cellStyle name="Hyperlink" xfId="1256" builtinId="8" hidden="1"/>
    <cellStyle name="Hyperlink" xfId="1258" builtinId="8" hidden="1"/>
    <cellStyle name="Hyperlink" xfId="1260" builtinId="8" hidden="1"/>
    <cellStyle name="Hyperlink" xfId="1262" builtinId="8" hidden="1"/>
    <cellStyle name="Hyperlink" xfId="1264" builtinId="8" hidden="1"/>
    <cellStyle name="Hyperlink" xfId="1266" builtinId="8" hidden="1"/>
    <cellStyle name="Hyperlink" xfId="1268" builtinId="8" hidden="1"/>
    <cellStyle name="Hyperlink" xfId="1270" builtinId="8" hidden="1"/>
    <cellStyle name="Hyperlink" xfId="1272" builtinId="8" hidden="1"/>
    <cellStyle name="Hyperlink" xfId="1274" builtinId="8" hidden="1"/>
    <cellStyle name="Hyperlink" xfId="1276" builtinId="8" hidden="1"/>
    <cellStyle name="Hyperlink" xfId="1278" builtinId="8" hidden="1"/>
    <cellStyle name="Hyperlink" xfId="1280" builtinId="8" hidden="1"/>
    <cellStyle name="Hyperlink" xfId="1282" builtinId="8" hidden="1"/>
    <cellStyle name="Hyperlink" xfId="1284" builtinId="8" hidden="1"/>
    <cellStyle name="Hyperlink" xfId="1286" builtinId="8" hidden="1"/>
    <cellStyle name="Hyperlink" xfId="1288" builtinId="8" hidden="1"/>
    <cellStyle name="Hyperlink" xfId="1290" builtinId="8" hidden="1"/>
    <cellStyle name="Hyperlink" xfId="1292" builtinId="8" hidden="1"/>
    <cellStyle name="Hyperlink" xfId="1294" builtinId="8" hidden="1"/>
    <cellStyle name="Hyperlink" xfId="1296" builtinId="8" hidden="1"/>
    <cellStyle name="Hyperlink" xfId="1298" builtinId="8" hidden="1"/>
    <cellStyle name="Hyperlink" xfId="1300" builtinId="8" hidden="1"/>
    <cellStyle name="Hyperlink" xfId="1302" builtinId="8" hidden="1"/>
    <cellStyle name="Hyperlink" xfId="1304" builtinId="8" hidden="1"/>
    <cellStyle name="Hyperlink" xfId="1306" builtinId="8" hidden="1"/>
    <cellStyle name="Hyperlink" xfId="1308" builtinId="8" hidden="1"/>
    <cellStyle name="Hyperlink" xfId="1310" builtinId="8" hidden="1"/>
    <cellStyle name="Hyperlink" xfId="1312" builtinId="8" hidden="1"/>
    <cellStyle name="Hyperlink" xfId="1314" builtinId="8" hidden="1"/>
    <cellStyle name="Hyperlink" xfId="1316" builtinId="8" hidden="1"/>
    <cellStyle name="Hyperlink" xfId="1318" builtinId="8" hidden="1"/>
    <cellStyle name="Hyperlink" xfId="1320" builtinId="8" hidden="1"/>
    <cellStyle name="Hyperlink" xfId="1322" builtinId="8" hidden="1"/>
    <cellStyle name="Hyperlink" xfId="1324" builtinId="8" hidden="1"/>
    <cellStyle name="Hyperlink" xfId="1326" builtinId="8" hidden="1"/>
    <cellStyle name="Hyperlink" xfId="1328" builtinId="8" hidden="1"/>
    <cellStyle name="Hyperlink" xfId="1330" builtinId="8" hidden="1"/>
    <cellStyle name="Hyperlink" xfId="1332" builtinId="8" hidden="1"/>
    <cellStyle name="Hyperlink" xfId="1334" builtinId="8" hidden="1"/>
    <cellStyle name="Hyperlink" xfId="1336" builtinId="8" hidden="1"/>
    <cellStyle name="Hyperlink" xfId="1338" builtinId="8" hidden="1"/>
    <cellStyle name="Hyperlink" xfId="1340" builtinId="8" hidden="1"/>
    <cellStyle name="Hyperlink" xfId="1342" builtinId="8" hidden="1"/>
    <cellStyle name="Hyperlink" xfId="1344" builtinId="8" hidden="1"/>
    <cellStyle name="Hyperlink" xfId="1346" builtinId="8" hidden="1"/>
    <cellStyle name="Hyperlink" xfId="1348" builtinId="8" hidden="1"/>
    <cellStyle name="Hyperlink" xfId="1350" builtinId="8" hidden="1"/>
    <cellStyle name="Hyperlink" xfId="1352" builtinId="8" hidden="1"/>
    <cellStyle name="Hyperlink" xfId="1354" builtinId="8" hidden="1"/>
    <cellStyle name="Hyperlink" xfId="1356" builtinId="8" hidden="1"/>
    <cellStyle name="Hyperlink" xfId="1358" builtinId="8" hidden="1"/>
    <cellStyle name="Hyperlink" xfId="1360" builtinId="8" hidden="1"/>
    <cellStyle name="Hyperlink" xfId="1362" builtinId="8" hidden="1"/>
    <cellStyle name="Hyperlink" xfId="1364" builtinId="8" hidden="1"/>
    <cellStyle name="Hyperlink" xfId="1366" builtinId="8" hidden="1"/>
    <cellStyle name="Hyperlink" xfId="1368" builtinId="8" hidden="1"/>
    <cellStyle name="Hyperlink" xfId="1370" builtinId="8" hidden="1"/>
    <cellStyle name="Hyperlink" xfId="1372" builtinId="8" hidden="1"/>
    <cellStyle name="Hyperlink" xfId="1374" builtinId="8" hidden="1"/>
    <cellStyle name="Hyperlink" xfId="1376" builtinId="8" hidden="1"/>
    <cellStyle name="Hyperlink" xfId="1378" builtinId="8" hidden="1"/>
    <cellStyle name="Hyperlink" xfId="1380" builtinId="8" hidden="1"/>
    <cellStyle name="Hyperlink" xfId="1382" builtinId="8" hidden="1"/>
    <cellStyle name="Hyperlink" xfId="1384" builtinId="8" hidden="1"/>
    <cellStyle name="Hyperlink" xfId="1386" builtinId="8" hidden="1"/>
    <cellStyle name="Hyperlink" xfId="1388" builtinId="8" hidden="1"/>
    <cellStyle name="Hyperlink" xfId="1390" builtinId="8" hidden="1"/>
    <cellStyle name="Hyperlink" xfId="1392" builtinId="8" hidden="1"/>
    <cellStyle name="Hyperlink" xfId="1394" builtinId="8" hidden="1"/>
    <cellStyle name="Hyperlink" xfId="1396" builtinId="8" hidden="1"/>
    <cellStyle name="Hyperlink" xfId="1398" builtinId="8" hidden="1"/>
    <cellStyle name="Hyperlink" xfId="1400" builtinId="8" hidden="1"/>
    <cellStyle name="Hyperlink" xfId="1402" builtinId="8" hidden="1"/>
    <cellStyle name="Hyperlink" xfId="1404" builtinId="8" hidden="1"/>
    <cellStyle name="Hyperlink" xfId="1406" builtinId="8" hidden="1"/>
    <cellStyle name="Hyperlink" xfId="1408" builtinId="8" hidden="1"/>
    <cellStyle name="Hyperlink" xfId="1410" builtinId="8" hidden="1"/>
    <cellStyle name="Hyperlink" xfId="1412" builtinId="8" hidden="1"/>
    <cellStyle name="Hyperlink" xfId="1414" builtinId="8" hidden="1"/>
    <cellStyle name="Hyperlink" xfId="1416" builtinId="8" hidden="1"/>
    <cellStyle name="Hyperlink" xfId="1418" builtinId="8" hidden="1"/>
    <cellStyle name="Hyperlink" xfId="1420" builtinId="8" hidden="1"/>
    <cellStyle name="Hyperlink" xfId="1422" builtinId="8" hidden="1"/>
    <cellStyle name="Hyperlink" xfId="1424" builtinId="8" hidden="1"/>
    <cellStyle name="Hyperlink" xfId="1426" builtinId="8" hidden="1"/>
    <cellStyle name="Hyperlink" xfId="1428" builtinId="8" hidden="1"/>
    <cellStyle name="Hyperlink" xfId="1430" builtinId="8" hidden="1"/>
    <cellStyle name="Hyperlink" xfId="1432" builtinId="8" hidden="1"/>
    <cellStyle name="Hyperlink" xfId="1434" builtinId="8" hidden="1"/>
    <cellStyle name="Hyperlink" xfId="1436" builtinId="8" hidden="1"/>
    <cellStyle name="Hyperlink" xfId="1438" builtinId="8" hidden="1"/>
    <cellStyle name="Hyperlink" xfId="1440" builtinId="8" hidden="1"/>
    <cellStyle name="Hyperlink" xfId="1442" builtinId="8" hidden="1"/>
    <cellStyle name="Hyperlink" xfId="1444" builtinId="8" hidden="1"/>
    <cellStyle name="Hyperlink" xfId="1446" builtinId="8" hidden="1"/>
    <cellStyle name="Hyperlink" xfId="1448" builtinId="8" hidden="1"/>
    <cellStyle name="Hyperlink" xfId="1450" builtinId="8" hidden="1"/>
    <cellStyle name="Hyperlink" xfId="1452" builtinId="8" hidden="1"/>
    <cellStyle name="Hyperlink" xfId="1454" builtinId="8" hidden="1"/>
    <cellStyle name="Hyperlink" xfId="1456" builtinId="8" hidden="1"/>
    <cellStyle name="Hyperlink" xfId="1458" builtinId="8" hidden="1"/>
    <cellStyle name="Hyperlink" xfId="1460" builtinId="8" hidden="1"/>
    <cellStyle name="Hyperlink" xfId="1462" builtinId="8" hidden="1"/>
    <cellStyle name="Hyperlink" xfId="1464" builtinId="8" hidden="1"/>
    <cellStyle name="Hyperlink" xfId="1466" builtinId="8" hidden="1"/>
    <cellStyle name="Hyperlink" xfId="1468" builtinId="8" hidden="1"/>
    <cellStyle name="Hyperlink" xfId="1470" builtinId="8" hidden="1"/>
    <cellStyle name="Hyperlink" xfId="1472" builtinId="8" hidden="1"/>
    <cellStyle name="Hyperlink" xfId="1474" builtinId="8" hidden="1"/>
    <cellStyle name="Hyperlink" xfId="1476" builtinId="8" hidden="1"/>
    <cellStyle name="Hyperlink" xfId="1478" builtinId="8" hidden="1"/>
    <cellStyle name="Hyperlink" xfId="1480" builtinId="8" hidden="1"/>
    <cellStyle name="Hyperlink" xfId="1482" builtinId="8" hidden="1"/>
    <cellStyle name="Hyperlink" xfId="1484" builtinId="8" hidden="1"/>
    <cellStyle name="Hyperlink" xfId="1486" builtinId="8" hidden="1"/>
    <cellStyle name="Hyperlink" xfId="1488" builtinId="8" hidden="1"/>
    <cellStyle name="Hyperlink" xfId="1490" builtinId="8" hidden="1"/>
    <cellStyle name="Hyperlink" xfId="1492" builtinId="8" hidden="1"/>
    <cellStyle name="Hyperlink" xfId="1494" builtinId="8" hidden="1"/>
    <cellStyle name="Hyperlink" xfId="1496" builtinId="8" hidden="1"/>
    <cellStyle name="Hyperlink" xfId="1498" builtinId="8" hidden="1"/>
    <cellStyle name="Hyperlink" xfId="1500" builtinId="8" hidden="1"/>
    <cellStyle name="Hyperlink" xfId="1502" builtinId="8" hidden="1"/>
    <cellStyle name="Hyperlink" xfId="1504" builtinId="8" hidden="1"/>
    <cellStyle name="Hyperlink" xfId="1506" builtinId="8" hidden="1"/>
    <cellStyle name="Hyperlink" xfId="1508" builtinId="8" hidden="1"/>
    <cellStyle name="Hyperlink" xfId="1510" builtinId="8" hidden="1"/>
    <cellStyle name="Hyperlink" xfId="1512" builtinId="8" hidden="1"/>
    <cellStyle name="Hyperlink" xfId="1514" builtinId="8" hidden="1"/>
    <cellStyle name="Hyperlink" xfId="1516" builtinId="8" hidden="1"/>
    <cellStyle name="Hyperlink" xfId="1518" builtinId="8" hidden="1"/>
    <cellStyle name="Hyperlink" xfId="1520" builtinId="8" hidden="1"/>
    <cellStyle name="Hyperlink" xfId="1522" builtinId="8" hidden="1"/>
    <cellStyle name="Hyperlink" xfId="1524" builtinId="8" hidden="1"/>
    <cellStyle name="Hyperlink" xfId="1526" builtinId="8" hidden="1"/>
    <cellStyle name="Hyperlink" xfId="1528" builtinId="8" hidden="1"/>
    <cellStyle name="Hyperlink" xfId="1530" builtinId="8" hidden="1"/>
    <cellStyle name="Hyperlink" xfId="1532" builtinId="8" hidden="1"/>
    <cellStyle name="Hyperlink" xfId="1534" builtinId="8" hidden="1"/>
    <cellStyle name="Hyperlink" xfId="1536" builtinId="8" hidden="1"/>
    <cellStyle name="Hyperlink" xfId="1538" builtinId="8" hidden="1"/>
    <cellStyle name="Hyperlink" xfId="1540" builtinId="8" hidden="1"/>
    <cellStyle name="Hyperlink" xfId="1542" builtinId="8" hidden="1"/>
    <cellStyle name="Hyperlink" xfId="1544" builtinId="8" hidden="1"/>
    <cellStyle name="Hyperlink" xfId="1546" builtinId="8" hidden="1"/>
    <cellStyle name="Hyperlink" xfId="1548" builtinId="8" hidden="1"/>
    <cellStyle name="Hyperlink" xfId="1550" builtinId="8" hidden="1"/>
    <cellStyle name="Hyperlink" xfId="1552" builtinId="8" hidden="1"/>
    <cellStyle name="Hyperlink" xfId="1554" builtinId="8" hidden="1"/>
    <cellStyle name="Hyperlink" xfId="1556" builtinId="8" hidden="1"/>
    <cellStyle name="Hyperlink" xfId="1558" builtinId="8" hidden="1"/>
    <cellStyle name="Hyperlink" xfId="1560" builtinId="8" hidden="1"/>
    <cellStyle name="Hyperlink" xfId="1562" builtinId="8" hidden="1"/>
    <cellStyle name="Hyperlink" xfId="1564" builtinId="8" hidden="1"/>
    <cellStyle name="Hyperlink" xfId="1566" builtinId="8" hidden="1"/>
    <cellStyle name="Hyperlink" xfId="1568" builtinId="8" hidden="1"/>
    <cellStyle name="Hyperlink" xfId="1570" builtinId="8" hidden="1"/>
    <cellStyle name="Hyperlink" xfId="1572" builtinId="8" hidden="1"/>
    <cellStyle name="Hyperlink" xfId="1574" builtinId="8" hidden="1"/>
    <cellStyle name="Hyperlink" xfId="1576" builtinId="8" hidden="1"/>
    <cellStyle name="Hyperlink" xfId="1578" builtinId="8" hidden="1"/>
    <cellStyle name="Hyperlink" xfId="1580" builtinId="8" hidden="1"/>
    <cellStyle name="Hyperlink" xfId="1582" builtinId="8" hidden="1"/>
    <cellStyle name="Hyperlink" xfId="1584" builtinId="8" hidden="1"/>
    <cellStyle name="Hyperlink" xfId="1586" builtinId="8" hidden="1"/>
    <cellStyle name="Hyperlink" xfId="1588" builtinId="8" hidden="1"/>
    <cellStyle name="Hyperlink" xfId="1590" builtinId="8" hidden="1"/>
    <cellStyle name="Hyperlink" xfId="1592" builtinId="8" hidden="1"/>
    <cellStyle name="Hyperlink" xfId="1594" builtinId="8" hidden="1"/>
    <cellStyle name="Hyperlink" xfId="1596" builtinId="8" hidden="1"/>
    <cellStyle name="Hyperlink" xfId="1598" builtinId="8" hidden="1"/>
    <cellStyle name="Hyperlink" xfId="1600" builtinId="8" hidden="1"/>
    <cellStyle name="Hyperlink" xfId="1602" builtinId="8" hidden="1"/>
    <cellStyle name="Hyperlink" xfId="1604" builtinId="8" hidden="1"/>
    <cellStyle name="Hyperlink" xfId="1606" builtinId="8" hidden="1"/>
    <cellStyle name="Hyperlink" xfId="1608" builtinId="8" hidden="1"/>
    <cellStyle name="Hyperlink" xfId="1610" builtinId="8" hidden="1"/>
    <cellStyle name="Hyperlink" xfId="1612" builtinId="8" hidden="1"/>
    <cellStyle name="Hyperlink" xfId="1614" builtinId="8" hidden="1"/>
    <cellStyle name="Hyperlink" xfId="1616" builtinId="8" hidden="1"/>
    <cellStyle name="Hyperlink" xfId="1618" builtinId="8" hidden="1"/>
    <cellStyle name="Hyperlink" xfId="1620" builtinId="8" hidden="1"/>
    <cellStyle name="Hyperlink" xfId="1622" builtinId="8" hidden="1"/>
    <cellStyle name="Hyperlink" xfId="1624" builtinId="8" hidden="1"/>
    <cellStyle name="Hyperlink" xfId="1626" builtinId="8" hidden="1"/>
    <cellStyle name="Hyperlink" xfId="1628" builtinId="8" hidden="1"/>
    <cellStyle name="Hyperlink" xfId="1630" builtinId="8" hidden="1"/>
    <cellStyle name="Hyperlink" xfId="1632" builtinId="8" hidden="1"/>
    <cellStyle name="Hyperlink" xfId="1634" builtinId="8" hidden="1"/>
    <cellStyle name="Hyperlink" xfId="1636" builtinId="8" hidden="1"/>
    <cellStyle name="Hyperlink" xfId="1638" builtinId="8" hidden="1"/>
    <cellStyle name="Hyperlink" xfId="1640" builtinId="8" hidden="1"/>
    <cellStyle name="Hyperlink" xfId="1642" builtinId="8" hidden="1"/>
    <cellStyle name="Hyperlink" xfId="1644" builtinId="8" hidden="1"/>
    <cellStyle name="Hyperlink" xfId="1646" builtinId="8" hidden="1"/>
    <cellStyle name="Hyperlink" xfId="1648" builtinId="8" hidden="1"/>
    <cellStyle name="Hyperlink" xfId="1650" builtinId="8" hidden="1"/>
    <cellStyle name="Hyperlink" xfId="1652" builtinId="8" hidden="1"/>
    <cellStyle name="Hyperlink" xfId="1654" builtinId="8" hidden="1"/>
    <cellStyle name="Hyperlink" xfId="1656" builtinId="8" hidden="1"/>
    <cellStyle name="Hyperlink" xfId="1658" builtinId="8" hidden="1"/>
    <cellStyle name="Hyperlink" xfId="1660" builtinId="8" hidden="1"/>
    <cellStyle name="Hyperlink" xfId="1662" builtinId="8" hidden="1"/>
    <cellStyle name="Hyperlink" xfId="1664" builtinId="8" hidden="1"/>
    <cellStyle name="Hyperlink" xfId="1666" builtinId="8" hidden="1"/>
    <cellStyle name="Hyperlink" xfId="1668" builtinId="8" hidden="1"/>
    <cellStyle name="Hyperlink" xfId="1670" builtinId="8" hidden="1"/>
    <cellStyle name="Hyperlink" xfId="1672" builtinId="8" hidden="1"/>
    <cellStyle name="Hyperlink" xfId="1674" builtinId="8" hidden="1"/>
    <cellStyle name="Hyperlink" xfId="1676" builtinId="8" hidden="1"/>
    <cellStyle name="Hyperlink" xfId="1678" builtinId="8" hidden="1"/>
    <cellStyle name="Hyperlink" xfId="1680" builtinId="8" hidden="1"/>
    <cellStyle name="Hyperlink" xfId="1682" builtinId="8" hidden="1"/>
    <cellStyle name="Hyperlink" xfId="1684" builtinId="8" hidden="1"/>
    <cellStyle name="Hyperlink" xfId="1686" builtinId="8" hidden="1"/>
    <cellStyle name="Hyperlink" xfId="1688" builtinId="8" hidden="1"/>
    <cellStyle name="Hyperlink" xfId="1690" builtinId="8" hidden="1"/>
    <cellStyle name="Hyperlink" xfId="1692" builtinId="8" hidden="1"/>
    <cellStyle name="Hyperlink" xfId="1694" builtinId="8" hidden="1"/>
    <cellStyle name="Hyperlink" xfId="1696" builtinId="8" hidden="1"/>
    <cellStyle name="Hyperlink" xfId="1698" builtinId="8" hidden="1"/>
    <cellStyle name="Hyperlink" xfId="1700" builtinId="8" hidden="1"/>
    <cellStyle name="Hyperlink" xfId="1702" builtinId="8" hidden="1"/>
    <cellStyle name="Hyperlink" xfId="1704" builtinId="8" hidden="1"/>
    <cellStyle name="Hyperlink" xfId="1706" builtinId="8" hidden="1"/>
    <cellStyle name="Hyperlink" xfId="1708" builtinId="8" hidden="1"/>
    <cellStyle name="Hyperlink" xfId="1710" builtinId="8" hidden="1"/>
    <cellStyle name="Hyperlink" xfId="1712" builtinId="8" hidden="1"/>
    <cellStyle name="Hyperlink" xfId="1714" builtinId="8" hidden="1"/>
    <cellStyle name="Hyperlink" xfId="1716" builtinId="8" hidden="1"/>
    <cellStyle name="Hyperlink" xfId="1718" builtinId="8" hidden="1"/>
    <cellStyle name="Hyperlink" xfId="1720" builtinId="8" hidden="1"/>
    <cellStyle name="Hyperlink" xfId="1722" builtinId="8" hidden="1"/>
    <cellStyle name="Hyperlink" xfId="1724" builtinId="8" hidden="1"/>
    <cellStyle name="Hyperlink" xfId="1726" builtinId="8" hidden="1"/>
    <cellStyle name="Hyperlink" xfId="1728" builtinId="8" hidden="1"/>
    <cellStyle name="Hyperlink" xfId="1730" builtinId="8" hidden="1"/>
    <cellStyle name="Hyperlink" xfId="1732" builtinId="8" hidden="1"/>
    <cellStyle name="Hyperlink" xfId="1734" builtinId="8" hidden="1"/>
    <cellStyle name="Hyperlink" xfId="1736" builtinId="8" hidden="1"/>
    <cellStyle name="Hyperlink" xfId="1738" builtinId="8" hidden="1"/>
    <cellStyle name="Hyperlink" xfId="1740" builtinId="8" hidden="1"/>
    <cellStyle name="Hyperlink" xfId="1742" builtinId="8" hidden="1"/>
    <cellStyle name="Hyperlink" xfId="1744" builtinId="8" hidden="1"/>
    <cellStyle name="Hyperlink" xfId="1746" builtinId="8" hidden="1"/>
    <cellStyle name="Hyperlink" xfId="1748" builtinId="8" hidden="1"/>
    <cellStyle name="Hyperlink" xfId="1750" builtinId="8" hidden="1"/>
    <cellStyle name="Hyperlink" xfId="1752" builtinId="8" hidden="1"/>
    <cellStyle name="Hyperlink" xfId="1754" builtinId="8" hidden="1"/>
    <cellStyle name="Hyperlink" xfId="1756" builtinId="8" hidden="1"/>
    <cellStyle name="Hyperlink" xfId="1758" builtinId="8" hidden="1"/>
    <cellStyle name="Hyperlink" xfId="1760" builtinId="8" hidden="1"/>
    <cellStyle name="Hyperlink" xfId="1762" builtinId="8" hidden="1"/>
    <cellStyle name="Hyperlink" xfId="1764" builtinId="8" hidden="1"/>
    <cellStyle name="Hyperlink" xfId="1766" builtinId="8" hidden="1"/>
    <cellStyle name="Hyperlink" xfId="1768" builtinId="8" hidden="1"/>
    <cellStyle name="Hyperlink" xfId="1770" builtinId="8" hidden="1"/>
    <cellStyle name="Hyperlink" xfId="1772" builtinId="8" hidden="1"/>
    <cellStyle name="Hyperlink" xfId="1774" builtinId="8" hidden="1"/>
    <cellStyle name="Hyperlink" xfId="1776" builtinId="8" hidden="1"/>
    <cellStyle name="Hyperlink" xfId="1778" builtinId="8" hidden="1"/>
    <cellStyle name="Hyperlink" xfId="1780" builtinId="8" hidden="1"/>
    <cellStyle name="Hyperlink" xfId="1782" builtinId="8" hidden="1"/>
    <cellStyle name="Hyperlink" xfId="1784" builtinId="8" hidden="1"/>
    <cellStyle name="Hyperlink" xfId="1786" builtinId="8" hidden="1"/>
    <cellStyle name="Hyperlink" xfId="1788" builtinId="8" hidden="1"/>
    <cellStyle name="Hyperlink" xfId="1790" builtinId="8" hidden="1"/>
    <cellStyle name="Hyperlink" xfId="1792" builtinId="8" hidden="1"/>
    <cellStyle name="Hyperlink" xfId="1794" builtinId="8" hidden="1"/>
    <cellStyle name="Hyperlink" xfId="1796" builtinId="8" hidden="1"/>
    <cellStyle name="Hyperlink" xfId="1798" builtinId="8" hidden="1"/>
    <cellStyle name="Hyperlink" xfId="1800" builtinId="8" hidden="1"/>
    <cellStyle name="Hyperlink" xfId="1802" builtinId="8" hidden="1"/>
    <cellStyle name="Hyperlink" xfId="1804" builtinId="8" hidden="1"/>
    <cellStyle name="Hyperlink" xfId="1806" builtinId="8" hidden="1"/>
    <cellStyle name="Hyperlink" xfId="1808" builtinId="8" hidden="1"/>
    <cellStyle name="Hyperlink" xfId="1810" builtinId="8" hidden="1"/>
    <cellStyle name="Hyperlink" xfId="1812" builtinId="8" hidden="1"/>
    <cellStyle name="Hyperlink" xfId="1814" builtinId="8" hidden="1"/>
    <cellStyle name="Hyperlink" xfId="1816" builtinId="8" hidden="1"/>
    <cellStyle name="Hyperlink" xfId="1818" builtinId="8" hidden="1"/>
    <cellStyle name="Hyperlink" xfId="1820" builtinId="8" hidden="1"/>
    <cellStyle name="Hyperlink" xfId="1822" builtinId="8" hidden="1"/>
    <cellStyle name="Hyperlink" xfId="1824" builtinId="8" hidden="1"/>
    <cellStyle name="Hyperlink" xfId="1826" builtinId="8" hidden="1"/>
    <cellStyle name="Hyperlink" xfId="1828" builtinId="8" hidden="1"/>
    <cellStyle name="Hyperlink" xfId="1830" builtinId="8" hidden="1"/>
    <cellStyle name="Hyperlink" xfId="1832" builtinId="8" hidden="1"/>
    <cellStyle name="Hyperlink" xfId="1834" builtinId="8" hidden="1"/>
    <cellStyle name="Hyperlink" xfId="1836" builtinId="8" hidden="1"/>
    <cellStyle name="Hyperlink" xfId="1838" builtinId="8" hidden="1"/>
    <cellStyle name="Hyperlink" xfId="1840" builtinId="8" hidden="1"/>
    <cellStyle name="Hyperlink" xfId="1842" builtinId="8" hidden="1"/>
    <cellStyle name="Hyperlink" xfId="1844" builtinId="8" hidden="1"/>
    <cellStyle name="Hyperlink" xfId="1846" builtinId="8" hidden="1"/>
    <cellStyle name="Hyperlink" xfId="1848" builtinId="8" hidden="1"/>
    <cellStyle name="Hyperlink" xfId="1850" builtinId="8" hidden="1"/>
    <cellStyle name="Hyperlink" xfId="1852" builtinId="8" hidden="1"/>
    <cellStyle name="Hyperlink" xfId="1854" builtinId="8" hidden="1"/>
    <cellStyle name="Hyperlink" xfId="1856" builtinId="8" hidden="1"/>
    <cellStyle name="Hyperlink" xfId="1858" builtinId="8" hidden="1"/>
    <cellStyle name="Hyperlink" xfId="1860" builtinId="8" hidden="1"/>
    <cellStyle name="Hyperlink" xfId="1862" builtinId="8" hidden="1"/>
    <cellStyle name="Hyperlink" xfId="1864" builtinId="8" hidden="1"/>
    <cellStyle name="Hyperlink" xfId="1866" builtinId="8" hidden="1"/>
    <cellStyle name="Hyperlink" xfId="1868" builtinId="8" hidden="1"/>
    <cellStyle name="Hyperlink" xfId="1870" builtinId="8" hidden="1"/>
    <cellStyle name="Hyperlink" xfId="1872" builtinId="8" hidden="1"/>
    <cellStyle name="Hyperlink" xfId="1874" builtinId="8" hidden="1"/>
    <cellStyle name="Hyperlink" xfId="1876" builtinId="8" hidden="1"/>
    <cellStyle name="Hyperlink" xfId="1878" builtinId="8" hidden="1"/>
    <cellStyle name="Hyperlink" xfId="1880" builtinId="8" hidden="1"/>
    <cellStyle name="Hyperlink" xfId="1882" builtinId="8" hidden="1"/>
    <cellStyle name="Hyperlink" xfId="1884" builtinId="8" hidden="1"/>
    <cellStyle name="Hyperlink" xfId="1886" builtinId="8" hidden="1"/>
    <cellStyle name="Hyperlink" xfId="1888" builtinId="8" hidden="1"/>
    <cellStyle name="Hyperlink" xfId="1890" builtinId="8" hidden="1"/>
    <cellStyle name="Hyperlink" xfId="1892" builtinId="8" hidden="1"/>
    <cellStyle name="Hyperlink" xfId="1894" builtinId="8" hidden="1"/>
    <cellStyle name="Hyperlink" xfId="1896" builtinId="8" hidden="1"/>
    <cellStyle name="Hyperlink" xfId="1898" builtinId="8" hidden="1"/>
    <cellStyle name="Hyperlink" xfId="1900" builtinId="8" hidden="1"/>
    <cellStyle name="Hyperlink" xfId="1902" builtinId="8" hidden="1"/>
    <cellStyle name="Hyperlink" xfId="1904" builtinId="8" hidden="1"/>
    <cellStyle name="Hyperlink" xfId="1906" builtinId="8" hidden="1"/>
    <cellStyle name="Hyperlink" xfId="1908" builtinId="8" hidden="1"/>
    <cellStyle name="Hyperlink" xfId="1910" builtinId="8" hidden="1"/>
    <cellStyle name="Hyperlink" xfId="1912" builtinId="8" hidden="1"/>
    <cellStyle name="Hyperlink" xfId="1914" builtinId="8" hidden="1"/>
    <cellStyle name="Hyperlink" xfId="1916" builtinId="8" hidden="1"/>
    <cellStyle name="Hyperlink" xfId="1918" builtinId="8" hidden="1"/>
    <cellStyle name="Hyperlink" xfId="1920" builtinId="8" hidden="1"/>
    <cellStyle name="Hyperlink" xfId="1922" builtinId="8" hidden="1"/>
    <cellStyle name="Hyperlink" xfId="1924" builtinId="8" hidden="1"/>
    <cellStyle name="Hyperlink" xfId="1926" builtinId="8" hidden="1"/>
    <cellStyle name="Hyperlink" xfId="1928" builtinId="8" hidden="1"/>
    <cellStyle name="Hyperlink" xfId="1930" builtinId="8" hidden="1"/>
    <cellStyle name="Hyperlink" xfId="1932" builtinId="8" hidden="1"/>
    <cellStyle name="Hyperlink" xfId="1934" builtinId="8" hidden="1"/>
    <cellStyle name="Hyperlink" xfId="1936" builtinId="8" hidden="1"/>
    <cellStyle name="Hyperlink" xfId="1938" builtinId="8" hidden="1"/>
    <cellStyle name="Hyperlink" xfId="1940" builtinId="8" hidden="1"/>
    <cellStyle name="Hyperlink" xfId="1942" builtinId="8" hidden="1"/>
    <cellStyle name="Hyperlink" xfId="1944" builtinId="8" hidden="1"/>
    <cellStyle name="Hyperlink" xfId="1946" builtinId="8" hidden="1"/>
    <cellStyle name="Hyperlink" xfId="1948" builtinId="8" hidden="1"/>
    <cellStyle name="Hyperlink" xfId="1950" builtinId="8" hidden="1"/>
    <cellStyle name="Hyperlink" xfId="1952" builtinId="8" hidden="1"/>
    <cellStyle name="Hyperlink" xfId="1954" builtinId="8" hidden="1"/>
    <cellStyle name="Hyperlink" xfId="1956" builtinId="8" hidden="1"/>
    <cellStyle name="Hyperlink" xfId="1958" builtinId="8" hidden="1"/>
    <cellStyle name="Hyperlink" xfId="1960" builtinId="8" hidden="1"/>
    <cellStyle name="Hyperlink" xfId="1962" builtinId="8" hidden="1"/>
    <cellStyle name="Hyperlink" xfId="1964" builtinId="8" hidden="1"/>
    <cellStyle name="Hyperlink" xfId="1966" builtinId="8" hidden="1"/>
    <cellStyle name="Hyperlink" xfId="1968" builtinId="8" hidden="1"/>
    <cellStyle name="Hyperlink" xfId="1970" builtinId="8" hidden="1"/>
    <cellStyle name="Hyperlink" xfId="1972" builtinId="8" hidden="1"/>
    <cellStyle name="Hyperlink" xfId="1974" builtinId="8" hidden="1"/>
    <cellStyle name="Hyperlink" xfId="1976" builtinId="8" hidden="1"/>
    <cellStyle name="Hyperlink" xfId="1978" builtinId="8" hidden="1"/>
    <cellStyle name="Hyperlink" xfId="1980" builtinId="8" hidden="1"/>
    <cellStyle name="Hyperlink" xfId="1982" builtinId="8" hidden="1"/>
    <cellStyle name="Hyperlink" xfId="1984" builtinId="8" hidden="1"/>
    <cellStyle name="Hyperlink" xfId="1986" builtinId="8" hidden="1"/>
    <cellStyle name="Hyperlink" xfId="1988" builtinId="8" hidden="1"/>
    <cellStyle name="Hyperlink" xfId="1990" builtinId="8" hidden="1"/>
    <cellStyle name="Hyperlink" xfId="1992" builtinId="8" hidden="1"/>
    <cellStyle name="Hyperlink" xfId="1994" builtinId="8" hidden="1"/>
    <cellStyle name="Hyperlink" xfId="1996" builtinId="8" hidden="1"/>
    <cellStyle name="Hyperlink" xfId="1998" builtinId="8" hidden="1"/>
    <cellStyle name="Hyperlink" xfId="2000" builtinId="8" hidden="1"/>
    <cellStyle name="Hyperlink" xfId="2002" builtinId="8" hidden="1"/>
    <cellStyle name="Hyperlink" xfId="2004" builtinId="8" hidden="1"/>
    <cellStyle name="Hyperlink" xfId="2006" builtinId="8" hidden="1"/>
    <cellStyle name="Hyperlink" xfId="2008" builtinId="8" hidden="1"/>
    <cellStyle name="Hyperlink" xfId="2010" builtinId="8" hidden="1"/>
    <cellStyle name="Hyperlink" xfId="2012" builtinId="8" hidden="1"/>
    <cellStyle name="Hyperlink" xfId="2014" builtinId="8" hidden="1"/>
    <cellStyle name="Hyperlink" xfId="2016" builtinId="8" hidden="1"/>
    <cellStyle name="Hyperlink" xfId="2018" builtinId="8" hidden="1"/>
    <cellStyle name="Hyperlink" xfId="2020" builtinId="8" hidden="1"/>
    <cellStyle name="Hyperlink" xfId="2022" builtinId="8" hidden="1"/>
    <cellStyle name="Hyperlink" xfId="2024" builtinId="8" hidden="1"/>
    <cellStyle name="Hyperlink" xfId="2026" builtinId="8" hidden="1"/>
    <cellStyle name="Hyperlink" xfId="2028" builtinId="8" hidden="1"/>
    <cellStyle name="Hyperlink" xfId="2030" builtinId="8" hidden="1"/>
    <cellStyle name="Hyperlink" xfId="2032" builtinId="8" hidden="1"/>
    <cellStyle name="Hyperlink" xfId="2034" builtinId="8" hidden="1"/>
    <cellStyle name="Hyperlink" xfId="2036" builtinId="8" hidden="1"/>
    <cellStyle name="Hyperlink" xfId="2038" builtinId="8" hidden="1"/>
    <cellStyle name="Hyperlink" xfId="2040" builtinId="8" hidden="1"/>
    <cellStyle name="Hyperlink" xfId="2042" builtinId="8" hidden="1"/>
    <cellStyle name="Hyperlink" xfId="2044" builtinId="8" hidden="1"/>
    <cellStyle name="Hyperlink" xfId="2046" builtinId="8" hidden="1"/>
    <cellStyle name="Hyperlink" xfId="2048" builtinId="8" hidden="1"/>
    <cellStyle name="Hyperlink" xfId="2050" builtinId="8" hidden="1"/>
    <cellStyle name="Hyperlink" xfId="2052" builtinId="8" hidden="1"/>
    <cellStyle name="Hyperlink" xfId="2054" builtinId="8" hidden="1"/>
    <cellStyle name="Hyperlink" xfId="2056" builtinId="8" hidden="1"/>
    <cellStyle name="Hyperlink" xfId="2058" builtinId="8" hidden="1"/>
    <cellStyle name="Hyperlink" xfId="2060" builtinId="8" hidden="1"/>
    <cellStyle name="Hyperlink" xfId="2062" builtinId="8" hidden="1"/>
    <cellStyle name="Hyperlink" xfId="2064" builtinId="8" hidden="1"/>
    <cellStyle name="Hyperlink" xfId="2066"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4" builtinId="8" hidden="1"/>
    <cellStyle name="Hyperlink" xfId="2136" builtinId="8" hidden="1"/>
    <cellStyle name="Hyperlink" xfId="2138" builtinId="8" hidden="1"/>
    <cellStyle name="Hyperlink" xfId="2140" builtinId="8" hidden="1"/>
    <cellStyle name="Hyperlink" xfId="2142" builtinId="8" hidden="1"/>
    <cellStyle name="Hyperlink" xfId="2144" builtinId="8" hidden="1"/>
    <cellStyle name="Hyperlink" xfId="2146" builtinId="8" hidden="1"/>
    <cellStyle name="Hyperlink" xfId="2148" builtinId="8" hidden="1"/>
    <cellStyle name="Hyperlink" xfId="2150" builtinId="8" hidden="1"/>
    <cellStyle name="Hyperlink" xfId="2152" builtinId="8" hidden="1"/>
    <cellStyle name="Hyperlink" xfId="2154" builtinId="8" hidden="1"/>
    <cellStyle name="Hyperlink" xfId="2156" builtinId="8" hidden="1"/>
    <cellStyle name="Hyperlink" xfId="2158" builtinId="8" hidden="1"/>
    <cellStyle name="Hyperlink" xfId="2160" builtinId="8" hidden="1"/>
    <cellStyle name="Hyperlink" xfId="2162" builtinId="8" hidden="1"/>
    <cellStyle name="Hyperlink" xfId="2164" builtinId="8" hidden="1"/>
    <cellStyle name="Hyperlink" xfId="2166" builtinId="8" hidden="1"/>
    <cellStyle name="Hyperlink" xfId="2168" builtinId="8" hidden="1"/>
    <cellStyle name="Hyperlink" xfId="2170" builtinId="8" hidden="1"/>
    <cellStyle name="Hyperlink" xfId="2172" builtinId="8" hidden="1"/>
    <cellStyle name="Hyperlink" xfId="2174" builtinId="8" hidden="1"/>
    <cellStyle name="Hyperlink" xfId="2176" builtinId="8" hidden="1"/>
    <cellStyle name="Hyperlink" xfId="2178" builtinId="8" hidden="1"/>
    <cellStyle name="Hyperlink" xfId="2180" builtinId="8" hidden="1"/>
    <cellStyle name="Hyperlink" xfId="2182" builtinId="8" hidden="1"/>
    <cellStyle name="Hyperlink" xfId="2184" builtinId="8" hidden="1"/>
    <cellStyle name="Hyperlink" xfId="2186" builtinId="8" hidden="1"/>
    <cellStyle name="Hyperlink" xfId="2188" builtinId="8" hidden="1"/>
    <cellStyle name="Hyperlink" xfId="2190" builtinId="8" hidden="1"/>
    <cellStyle name="Hyperlink" xfId="2192" builtinId="8" hidden="1"/>
    <cellStyle name="Hyperlink" xfId="2194" builtinId="8" hidden="1"/>
    <cellStyle name="Hyperlink" xfId="2196" builtinId="8" hidden="1"/>
    <cellStyle name="Hyperlink" xfId="2198" builtinId="8" hidden="1"/>
    <cellStyle name="Hyperlink" xfId="2200" builtinId="8" hidden="1"/>
    <cellStyle name="Hyperlink" xfId="2202" builtinId="8" hidden="1"/>
    <cellStyle name="Hyperlink" xfId="2204" builtinId="8" hidden="1"/>
    <cellStyle name="Hyperlink" xfId="2206" builtinId="8" hidden="1"/>
    <cellStyle name="Hyperlink" xfId="2208" builtinId="8" hidden="1"/>
    <cellStyle name="Hyperlink" xfId="2210" builtinId="8" hidden="1"/>
    <cellStyle name="Hyperlink" xfId="2212" builtinId="8" hidden="1"/>
    <cellStyle name="Hyperlink" xfId="2214" builtinId="8" hidden="1"/>
    <cellStyle name="Hyperlink" xfId="2216" builtinId="8" hidden="1"/>
    <cellStyle name="Hyperlink" xfId="2218" builtinId="8" hidden="1"/>
    <cellStyle name="Hyperlink" xfId="2220" builtinId="8" hidden="1"/>
    <cellStyle name="Hyperlink" xfId="2222" builtinId="8" hidden="1"/>
    <cellStyle name="Hyperlink" xfId="2224" builtinId="8" hidden="1"/>
    <cellStyle name="Hyperlink" xfId="2226" builtinId="8" hidden="1"/>
    <cellStyle name="Hyperlink" xfId="2228" builtinId="8" hidden="1"/>
    <cellStyle name="Hyperlink" xfId="2230" builtinId="8" hidden="1"/>
    <cellStyle name="Hyperlink" xfId="2232" builtinId="8" hidden="1"/>
    <cellStyle name="Hyperlink" xfId="2234" builtinId="8" hidden="1"/>
    <cellStyle name="Hyperlink" xfId="2236" builtinId="8" hidden="1"/>
    <cellStyle name="Hyperlink" xfId="2238" builtinId="8" hidden="1"/>
    <cellStyle name="Hyperlink" xfId="2240" builtinId="8" hidden="1"/>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xfId="2728" builtinId="8" hidden="1"/>
    <cellStyle name="Hyperlink" xfId="2730" builtinId="8" hidden="1"/>
    <cellStyle name="Hyperlink" xfId="2732" builtinId="8" hidden="1"/>
    <cellStyle name="Hyperlink" xfId="2734" builtinId="8" hidden="1"/>
    <cellStyle name="Hyperlink" xfId="2736" builtinId="8" hidden="1"/>
    <cellStyle name="Hyperlink" xfId="2738" builtinId="8" hidden="1"/>
    <cellStyle name="Hyperlink" xfId="2740" builtinId="8" hidden="1"/>
    <cellStyle name="Hyperlink" xfId="2742" builtinId="8" hidden="1"/>
    <cellStyle name="Hyperlink" xfId="2744" builtinId="8" hidden="1"/>
    <cellStyle name="Hyperlink" xfId="2746" builtinId="8" hidden="1"/>
    <cellStyle name="Hyperlink" xfId="2748" builtinId="8" hidden="1"/>
    <cellStyle name="Hyperlink" xfId="2750" builtinId="8" hidden="1"/>
    <cellStyle name="Hyperlink" xfId="2752" builtinId="8" hidden="1"/>
    <cellStyle name="Hyperlink" xfId="2754" builtinId="8" hidden="1"/>
    <cellStyle name="Hyperlink" xfId="2756" builtinId="8" hidden="1"/>
    <cellStyle name="Hyperlink" xfId="2758" builtinId="8" hidden="1"/>
    <cellStyle name="Hyperlink" xfId="2760" builtinId="8" hidden="1"/>
    <cellStyle name="Hyperlink" xfId="2762" builtinId="8" hidden="1"/>
    <cellStyle name="Hyperlink" xfId="2764" builtinId="8" hidden="1"/>
    <cellStyle name="Hyperlink" xfId="2766" builtinId="8" hidden="1"/>
    <cellStyle name="Hyperlink" xfId="2768" builtinId="8" hidden="1"/>
    <cellStyle name="Hyperlink" xfId="2770" builtinId="8" hidden="1"/>
    <cellStyle name="Hyperlink" xfId="2772" builtinId="8" hidden="1"/>
    <cellStyle name="Hyperlink" xfId="2774" builtinId="8" hidden="1"/>
    <cellStyle name="Hyperlink" xfId="2776" builtinId="8" hidden="1"/>
    <cellStyle name="Hyperlink" xfId="2778" builtinId="8" hidden="1"/>
    <cellStyle name="Hyperlink" xfId="2780" builtinId="8" hidden="1"/>
    <cellStyle name="Hyperlink" xfId="2782" builtinId="8" hidden="1"/>
    <cellStyle name="Hyperlink" xfId="2784" builtinId="8" hidden="1"/>
    <cellStyle name="Hyperlink" xfId="2786" builtinId="8" hidden="1"/>
    <cellStyle name="Hyperlink" xfId="2788" builtinId="8" hidden="1"/>
    <cellStyle name="Hyperlink" xfId="2790" builtinId="8" hidden="1"/>
    <cellStyle name="Hyperlink" xfId="2792" builtinId="8" hidden="1"/>
    <cellStyle name="Hyperlink" xfId="2794" builtinId="8" hidden="1"/>
    <cellStyle name="Hyperlink" xfId="2796" builtinId="8" hidden="1"/>
    <cellStyle name="Hyperlink" xfId="2798" builtinId="8" hidden="1"/>
    <cellStyle name="Hyperlink" xfId="2800" builtinId="8" hidden="1"/>
    <cellStyle name="Hyperlink" xfId="2802" builtinId="8" hidden="1"/>
    <cellStyle name="Hyperlink" xfId="2804" builtinId="8" hidden="1"/>
    <cellStyle name="Hyperlink" xfId="2806" builtinId="8" hidden="1"/>
    <cellStyle name="Hyperlink" xfId="2808" builtinId="8" hidden="1"/>
    <cellStyle name="Hyperlink" xfId="2810" builtinId="8" hidden="1"/>
    <cellStyle name="Hyperlink" xfId="2812" builtinId="8" hidden="1"/>
    <cellStyle name="Hyperlink" xfId="2814" builtinId="8" hidden="1"/>
    <cellStyle name="Hyperlink" xfId="2816" builtinId="8" hidden="1"/>
    <cellStyle name="Hyperlink" xfId="2818" builtinId="8" hidden="1"/>
    <cellStyle name="Hyperlink" xfId="2820" builtinId="8" hidden="1"/>
    <cellStyle name="Hyperlink" xfId="2822" builtinId="8" hidden="1"/>
    <cellStyle name="Hyperlink" xfId="2824" builtinId="8" hidden="1"/>
    <cellStyle name="Hyperlink" xfId="2826" builtinId="8" hidden="1"/>
    <cellStyle name="Hyperlink" xfId="2828" builtinId="8" hidden="1"/>
    <cellStyle name="Hyperlink" xfId="2830" builtinId="8" hidden="1"/>
    <cellStyle name="Hyperlink" xfId="2832" builtinId="8" hidden="1"/>
    <cellStyle name="Hyperlink" xfId="2834" builtinId="8" hidden="1"/>
    <cellStyle name="Hyperlink" xfId="2836" builtinId="8" hidden="1"/>
    <cellStyle name="Hyperlink" xfId="2838" builtinId="8" hidden="1"/>
    <cellStyle name="Hyperlink" xfId="2840" builtinId="8" hidden="1"/>
    <cellStyle name="Hyperlink" xfId="2842" builtinId="8" hidden="1"/>
    <cellStyle name="Hyperlink" xfId="2844" builtinId="8" hidden="1"/>
    <cellStyle name="Hyperlink" xfId="2846" builtinId="8" hidden="1"/>
    <cellStyle name="Hyperlink" xfId="2848" builtinId="8" hidden="1"/>
    <cellStyle name="Hyperlink" xfId="2850" builtinId="8" hidden="1"/>
    <cellStyle name="Hyperlink" xfId="2852" builtinId="8" hidden="1"/>
    <cellStyle name="Hyperlink" xfId="2854" builtinId="8" hidden="1"/>
    <cellStyle name="Hyperlink" xfId="2856" builtinId="8" hidden="1"/>
    <cellStyle name="Hyperlink" xfId="2858" builtinId="8" hidden="1"/>
    <cellStyle name="Hyperlink" xfId="2860" builtinId="8" hidden="1"/>
    <cellStyle name="Hyperlink" xfId="2862" builtinId="8" hidden="1"/>
    <cellStyle name="Hyperlink" xfId="2864" builtinId="8" hidden="1"/>
    <cellStyle name="Hyperlink" xfId="2866" builtinId="8" hidden="1"/>
    <cellStyle name="Hyperlink" xfId="2868" builtinId="8" hidden="1"/>
    <cellStyle name="Hyperlink" xfId="2870"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4" builtinId="8" hidden="1"/>
    <cellStyle name="Hyperlink" xfId="3106" builtinId="8" hidden="1"/>
    <cellStyle name="Hyperlink" xfId="3108" builtinId="8" hidden="1"/>
    <cellStyle name="Hyperlink" xfId="3110" builtinId="8" hidden="1"/>
    <cellStyle name="Hyperlink" xfId="3112" builtinId="8" hidden="1"/>
    <cellStyle name="Hyperlink" xfId="3114" builtinId="8" hidden="1"/>
    <cellStyle name="Hyperlink" xfId="3116" builtinId="8" hidden="1"/>
    <cellStyle name="Hyperlink" xfId="3118" builtinId="8" hidden="1"/>
    <cellStyle name="Hyperlink" xfId="3120" builtinId="8" hidden="1"/>
    <cellStyle name="Hyperlink" xfId="3122" builtinId="8" hidden="1"/>
    <cellStyle name="Hyperlink" xfId="3124" builtinId="8" hidden="1"/>
    <cellStyle name="Hyperlink" xfId="3126" builtinId="8" hidden="1"/>
    <cellStyle name="Hyperlink" xfId="3128" builtinId="8" hidden="1"/>
    <cellStyle name="Hyperlink" xfId="3130" builtinId="8" hidden="1"/>
    <cellStyle name="Hyperlink" xfId="3132" builtinId="8" hidden="1"/>
    <cellStyle name="Hyperlink" xfId="3134" builtinId="8" hidden="1"/>
    <cellStyle name="Hyperlink" xfId="3136" builtinId="8" hidden="1"/>
    <cellStyle name="Hyperlink" xfId="3138" builtinId="8" hidden="1"/>
    <cellStyle name="Hyperlink" xfId="3140" builtinId="8" hidden="1"/>
    <cellStyle name="Hyperlink" xfId="3142" builtinId="8" hidden="1"/>
    <cellStyle name="Hyperlink" xfId="3144" builtinId="8" hidden="1"/>
    <cellStyle name="Hyperlink" xfId="3146" builtinId="8" hidden="1"/>
    <cellStyle name="Hyperlink" xfId="3148" builtinId="8" hidden="1"/>
    <cellStyle name="Hyperlink" xfId="3150" builtinId="8" hidden="1"/>
    <cellStyle name="Hyperlink" xfId="3152" builtinId="8" hidden="1"/>
    <cellStyle name="Hyperlink" xfId="3154" builtinId="8" hidden="1"/>
    <cellStyle name="Hyperlink" xfId="3156" builtinId="8" hidden="1"/>
    <cellStyle name="Hyperlink" xfId="3158" builtinId="8" hidden="1"/>
    <cellStyle name="Hyperlink" xfId="3160" builtinId="8" hidden="1"/>
    <cellStyle name="Hyperlink" xfId="3162" builtinId="8" hidden="1"/>
    <cellStyle name="Hyperlink" xfId="3164" builtinId="8" hidden="1"/>
    <cellStyle name="Hyperlink" xfId="3166" builtinId="8" hidden="1"/>
    <cellStyle name="Hyperlink" xfId="3168" builtinId="8" hidden="1"/>
    <cellStyle name="Hyperlink" xfId="3170" builtinId="8" hidden="1"/>
    <cellStyle name="Hyperlink" xfId="3172" builtinId="8" hidden="1"/>
    <cellStyle name="Hyperlink" xfId="3174" builtinId="8" hidden="1"/>
    <cellStyle name="Hyperlink" xfId="3176" builtinId="8" hidden="1"/>
    <cellStyle name="Hyperlink" xfId="3178" builtinId="8" hidden="1"/>
    <cellStyle name="Hyperlink" xfId="3180" builtinId="8" hidden="1"/>
    <cellStyle name="Hyperlink" xfId="3182" builtinId="8" hidden="1"/>
    <cellStyle name="Hyperlink" xfId="3184" builtinId="8" hidden="1"/>
    <cellStyle name="Hyperlink" xfId="3186" builtinId="8" hidden="1"/>
    <cellStyle name="Hyperlink" xfId="3188" builtinId="8" hidden="1"/>
    <cellStyle name="Hyperlink" xfId="3190" builtinId="8" hidden="1"/>
    <cellStyle name="Hyperlink" xfId="3192" builtinId="8" hidden="1"/>
    <cellStyle name="Hyperlink" xfId="3194" builtinId="8" hidden="1"/>
    <cellStyle name="Hyperlink" xfId="3196" builtinId="8" hidden="1"/>
    <cellStyle name="Hyperlink" xfId="3198" builtinId="8" hidden="1"/>
    <cellStyle name="Hyperlink" xfId="3200" builtinId="8" hidden="1"/>
    <cellStyle name="Hyperlink" xfId="3202" builtinId="8" hidden="1"/>
    <cellStyle name="Hyperlink" xfId="3204" builtinId="8" hidden="1"/>
    <cellStyle name="Hyperlink" xfId="3206" builtinId="8" hidden="1"/>
    <cellStyle name="Hyperlink" xfId="3208" builtinId="8" hidden="1"/>
    <cellStyle name="Hyperlink" xfId="3210" builtinId="8" hidden="1"/>
    <cellStyle name="Hyperlink" xfId="3212" builtinId="8" hidden="1"/>
    <cellStyle name="Hyperlink" xfId="3214" builtinId="8" hidden="1"/>
    <cellStyle name="Hyperlink" xfId="3216" builtinId="8" hidden="1"/>
    <cellStyle name="Hyperlink" xfId="3218" builtinId="8" hidden="1"/>
    <cellStyle name="Hyperlink" xfId="3220" builtinId="8" hidden="1"/>
    <cellStyle name="Hyperlink" xfId="3222" builtinId="8" hidden="1"/>
    <cellStyle name="Hyperlink" xfId="3224" builtinId="8" hidden="1"/>
    <cellStyle name="Hyperlink" xfId="3226" builtinId="8" hidden="1"/>
    <cellStyle name="Hyperlink" xfId="3228" builtinId="8" hidden="1"/>
    <cellStyle name="Hyperlink" xfId="3230" builtinId="8" hidden="1"/>
    <cellStyle name="Hyperlink" xfId="3232" builtinId="8" hidden="1"/>
    <cellStyle name="Hyperlink" xfId="3234" builtinId="8" hidden="1"/>
    <cellStyle name="Hyperlink" xfId="3236" builtinId="8" hidden="1"/>
    <cellStyle name="Hyperlink" xfId="3238" builtinId="8" hidden="1"/>
    <cellStyle name="Hyperlink" xfId="3240" builtinId="8" hidden="1"/>
    <cellStyle name="Hyperlink" xfId="3242" builtinId="8" hidden="1"/>
    <cellStyle name="Hyperlink" xfId="3244" builtinId="8" hidden="1"/>
    <cellStyle name="Hyperlink" xfId="3246" builtinId="8" hidden="1"/>
    <cellStyle name="Hyperlink" xfId="3248" builtinId="8" hidden="1"/>
    <cellStyle name="Hyperlink" xfId="3250" builtinId="8" hidden="1"/>
    <cellStyle name="Hyperlink" xfId="3252" builtinId="8" hidden="1"/>
    <cellStyle name="Hyperlink" xfId="3254" builtinId="8" hidden="1"/>
    <cellStyle name="Hyperlink" xfId="3256" builtinId="8" hidden="1"/>
    <cellStyle name="Hyperlink" xfId="3258" builtinId="8" hidden="1"/>
    <cellStyle name="Hyperlink" xfId="3260" builtinId="8" hidden="1"/>
    <cellStyle name="Hyperlink" xfId="3262" builtinId="8" hidden="1"/>
    <cellStyle name="Hyperlink" xfId="3264" builtinId="8" hidden="1"/>
    <cellStyle name="Hyperlink" xfId="3266" builtinId="8" hidden="1"/>
    <cellStyle name="Hyperlink" xfId="3268" builtinId="8" hidden="1"/>
    <cellStyle name="Hyperlink" xfId="3270" builtinId="8" hidden="1"/>
    <cellStyle name="Hyperlink" xfId="3272" builtinId="8" hidden="1"/>
    <cellStyle name="Hyperlink" xfId="3274" builtinId="8" hidden="1"/>
    <cellStyle name="Hyperlink" xfId="3276" builtinId="8" hidden="1"/>
    <cellStyle name="Hyperlink" xfId="3278" builtinId="8" hidden="1"/>
    <cellStyle name="Hyperlink" xfId="3280" builtinId="8" hidden="1"/>
    <cellStyle name="Hyperlink" xfId="3282" builtinId="8" hidden="1"/>
    <cellStyle name="Hyperlink" xfId="3284" builtinId="8" hidden="1"/>
    <cellStyle name="Hyperlink" xfId="3286" builtinId="8" hidden="1"/>
    <cellStyle name="Hyperlink" xfId="3288" builtinId="8" hidden="1"/>
    <cellStyle name="Hyperlink" xfId="3290" builtinId="8" hidden="1"/>
    <cellStyle name="Hyperlink" xfId="3292" builtinId="8" hidden="1"/>
    <cellStyle name="Hyperlink" xfId="3294" builtinId="8" hidden="1"/>
    <cellStyle name="Hyperlink" xfId="3296" builtinId="8" hidden="1"/>
    <cellStyle name="Hyperlink" xfId="3298" builtinId="8" hidden="1"/>
    <cellStyle name="Hyperlink" xfId="3300" builtinId="8" hidden="1"/>
    <cellStyle name="Hyperlink" xfId="3302" builtinId="8" hidden="1"/>
    <cellStyle name="Hyperlink" xfId="3304" builtinId="8" hidden="1"/>
    <cellStyle name="Hyperlink" xfId="3306" builtinId="8" hidden="1"/>
    <cellStyle name="Hyperlink" xfId="3308" builtinId="8" hidden="1"/>
    <cellStyle name="Hyperlink" xfId="3310" builtinId="8" hidden="1"/>
    <cellStyle name="Hyperlink" xfId="3312" builtinId="8" hidden="1"/>
    <cellStyle name="Hyperlink" xfId="3314" builtinId="8" hidden="1"/>
    <cellStyle name="Hyperlink" xfId="3316" builtinId="8" hidden="1"/>
    <cellStyle name="Hyperlink" xfId="3318" builtinId="8" hidden="1"/>
    <cellStyle name="Hyperlink" xfId="3320" builtinId="8" hidden="1"/>
    <cellStyle name="Hyperlink" xfId="3322" builtinId="8" hidden="1"/>
    <cellStyle name="Hyperlink" xfId="3324" builtinId="8" hidden="1"/>
    <cellStyle name="Hyperlink" xfId="3326" builtinId="8" hidden="1"/>
    <cellStyle name="Hyperlink" xfId="3328" builtinId="8" hidden="1"/>
    <cellStyle name="Hyperlink" xfId="3330" builtinId="8" hidden="1"/>
    <cellStyle name="Hyperlink" xfId="3332" builtinId="8" hidden="1"/>
    <cellStyle name="Hyperlink" xfId="3334" builtinId="8" hidden="1"/>
    <cellStyle name="Hyperlink" xfId="3336" builtinId="8" hidden="1"/>
    <cellStyle name="Hyperlink" xfId="3338" builtinId="8" hidden="1"/>
    <cellStyle name="Hyperlink" xfId="3340" builtinId="8" hidden="1"/>
    <cellStyle name="Hyperlink" xfId="3342" builtinId="8" hidden="1"/>
    <cellStyle name="Hyperlink" xfId="3344" builtinId="8" hidden="1"/>
    <cellStyle name="Hyperlink" xfId="3346" builtinId="8" hidden="1"/>
    <cellStyle name="Hyperlink" xfId="3348" builtinId="8" hidden="1"/>
    <cellStyle name="Hyperlink" xfId="3350" builtinId="8" hidden="1"/>
    <cellStyle name="Hyperlink" xfId="3352" builtinId="8" hidden="1"/>
    <cellStyle name="Hyperlink" xfId="3354" builtinId="8" hidden="1"/>
    <cellStyle name="Hyperlink" xfId="3356" builtinId="8" hidden="1"/>
    <cellStyle name="Hyperlink" xfId="3358" builtinId="8" hidden="1"/>
    <cellStyle name="Hyperlink" xfId="3360" builtinId="8" hidden="1"/>
    <cellStyle name="Hyperlink" xfId="3362" builtinId="8" hidden="1"/>
    <cellStyle name="Hyperlink" xfId="3364" builtinId="8" hidden="1"/>
    <cellStyle name="Hyperlink" xfId="3366" builtinId="8" hidden="1"/>
    <cellStyle name="Hyperlink" xfId="3368" builtinId="8" hidden="1"/>
    <cellStyle name="Hyperlink" xfId="3370" builtinId="8" hidden="1"/>
    <cellStyle name="Hyperlink" xfId="3372" builtinId="8" hidden="1"/>
    <cellStyle name="Hyperlink" xfId="3374" builtinId="8" hidden="1"/>
    <cellStyle name="Hyperlink" xfId="3376" builtinId="8" hidden="1"/>
    <cellStyle name="Hyperlink" xfId="3378" builtinId="8" hidden="1"/>
    <cellStyle name="Hyperlink" xfId="3380" builtinId="8" hidden="1"/>
    <cellStyle name="Hyperlink" xfId="3382" builtinId="8" hidden="1"/>
    <cellStyle name="Hyperlink" xfId="3384" builtinId="8" hidden="1"/>
    <cellStyle name="Hyperlink" xfId="3386" builtinId="8" hidden="1"/>
    <cellStyle name="Hyperlink" xfId="3388" builtinId="8" hidden="1"/>
    <cellStyle name="Hyperlink" xfId="3390" builtinId="8" hidden="1"/>
    <cellStyle name="Hyperlink" xfId="3392" builtinId="8" hidden="1"/>
    <cellStyle name="Hyperlink" xfId="3394" builtinId="8" hidden="1"/>
    <cellStyle name="Hyperlink" xfId="3396" builtinId="8" hidden="1"/>
    <cellStyle name="Hyperlink" xfId="3398" builtinId="8" hidden="1"/>
    <cellStyle name="Hyperlink" xfId="3400" builtinId="8" hidden="1"/>
    <cellStyle name="Hyperlink" xfId="3402" builtinId="8" hidden="1"/>
    <cellStyle name="Hyperlink" xfId="3404" builtinId="8" hidden="1"/>
    <cellStyle name="Hyperlink" xfId="3406" builtinId="8" hidden="1"/>
    <cellStyle name="Hyperlink" xfId="3408" builtinId="8" hidden="1"/>
    <cellStyle name="Hyperlink" xfId="3410" builtinId="8" hidden="1"/>
    <cellStyle name="Hyperlink" xfId="3412" builtinId="8" hidden="1"/>
    <cellStyle name="Hyperlink" xfId="3414" builtinId="8" hidden="1"/>
    <cellStyle name="Hyperlink" xfId="3416" builtinId="8" hidden="1"/>
    <cellStyle name="Hyperlink" xfId="3418" builtinId="8" hidden="1"/>
    <cellStyle name="Hyperlink" xfId="3420" builtinId="8" hidden="1"/>
    <cellStyle name="Hyperlink" xfId="3422" builtinId="8" hidden="1"/>
    <cellStyle name="Hyperlink" xfId="3424" builtinId="8" hidden="1"/>
    <cellStyle name="Hyperlink" xfId="3426" builtinId="8" hidden="1"/>
    <cellStyle name="Hyperlink" xfId="3428" builtinId="8" hidden="1"/>
    <cellStyle name="Hyperlink" xfId="3430" builtinId="8" hidden="1"/>
    <cellStyle name="Hyperlink" xfId="3432" builtinId="8" hidden="1"/>
    <cellStyle name="Hyperlink" xfId="3434" builtinId="8" hidden="1"/>
    <cellStyle name="Hyperlink" xfId="3436" builtinId="8" hidden="1"/>
    <cellStyle name="Hyperlink" xfId="3438" builtinId="8" hidden="1"/>
    <cellStyle name="Hyperlink" xfId="3440" builtinId="8" hidden="1"/>
    <cellStyle name="Hyperlink" xfId="3442" builtinId="8" hidden="1"/>
    <cellStyle name="Hyperlink" xfId="3444" builtinId="8" hidden="1"/>
    <cellStyle name="Hyperlink" xfId="3446" builtinId="8" hidden="1"/>
    <cellStyle name="Hyperlink" xfId="3448" builtinId="8" hidden="1"/>
    <cellStyle name="Hyperlink" xfId="3450" builtinId="8" hidden="1"/>
    <cellStyle name="Hyperlink" xfId="3452" builtinId="8" hidden="1"/>
    <cellStyle name="Hyperlink" xfId="3454" builtinId="8" hidden="1"/>
    <cellStyle name="Hyperlink" xfId="3456" builtinId="8" hidden="1"/>
    <cellStyle name="Hyperlink" xfId="3458" builtinId="8" hidden="1"/>
    <cellStyle name="Hyperlink" xfId="3460" builtinId="8" hidden="1"/>
    <cellStyle name="Hyperlink" xfId="3462" builtinId="8" hidden="1"/>
    <cellStyle name="Hyperlink" xfId="3464" builtinId="8" hidden="1"/>
    <cellStyle name="Hyperlink" xfId="3466" builtinId="8" hidden="1"/>
    <cellStyle name="Hyperlink" xfId="3468" builtinId="8" hidden="1"/>
    <cellStyle name="Hyperlink" xfId="3470" builtinId="8" hidden="1"/>
    <cellStyle name="Hyperlink" xfId="3472" builtinId="8" hidden="1"/>
    <cellStyle name="Hyperlink" xfId="3474" builtinId="8" hidden="1"/>
    <cellStyle name="Hyperlink" xfId="3476" builtinId="8" hidden="1"/>
    <cellStyle name="Hyperlink" xfId="3478" builtinId="8" hidden="1"/>
    <cellStyle name="Hyperlink" xfId="3480" builtinId="8" hidden="1"/>
    <cellStyle name="Hyperlink" xfId="3482" builtinId="8" hidden="1"/>
    <cellStyle name="Hyperlink" xfId="3484" builtinId="8" hidden="1"/>
    <cellStyle name="Hyperlink" xfId="3486" builtinId="8" hidden="1"/>
    <cellStyle name="Hyperlink" xfId="3488" builtinId="8" hidden="1"/>
    <cellStyle name="Hyperlink" xfId="3490" builtinId="8" hidden="1"/>
    <cellStyle name="Hyperlink" xfId="3492" builtinId="8" hidden="1"/>
    <cellStyle name="Hyperlink" xfId="3494" builtinId="8" hidden="1"/>
    <cellStyle name="Hyperlink" xfId="3496" builtinId="8" hidden="1"/>
    <cellStyle name="Hyperlink" xfId="3498" builtinId="8" hidden="1"/>
    <cellStyle name="Hyperlink" xfId="3500" builtinId="8" hidden="1"/>
    <cellStyle name="Hyperlink" xfId="3502" builtinId="8" hidden="1"/>
    <cellStyle name="Hyperlink" xfId="3504" builtinId="8" hidden="1"/>
    <cellStyle name="Hyperlink" xfId="3506" builtinId="8" hidden="1"/>
    <cellStyle name="Hyperlink" xfId="3508" builtinId="8" hidden="1"/>
    <cellStyle name="Hyperlink" xfId="3510" builtinId="8" hidden="1"/>
    <cellStyle name="Hyperlink" xfId="3512" builtinId="8" hidden="1"/>
    <cellStyle name="Hyperlink" xfId="3514" builtinId="8" hidden="1"/>
    <cellStyle name="Hyperlink" xfId="3516" builtinId="8" hidden="1"/>
    <cellStyle name="Hyperlink" xfId="3518" builtinId="8" hidden="1"/>
    <cellStyle name="Hyperlink" xfId="3520" builtinId="8" hidden="1"/>
    <cellStyle name="Hyperlink" xfId="3522" builtinId="8" hidden="1"/>
    <cellStyle name="Hyperlink" xfId="3524" builtinId="8" hidden="1"/>
    <cellStyle name="Hyperlink" xfId="3526" builtinId="8" hidden="1"/>
    <cellStyle name="Hyperlink" xfId="3528" builtinId="8" hidden="1"/>
    <cellStyle name="Hyperlink" xfId="3530" builtinId="8" hidden="1"/>
    <cellStyle name="Hyperlink" xfId="3532" builtinId="8" hidden="1"/>
    <cellStyle name="Hyperlink" xfId="3534" builtinId="8" hidden="1"/>
    <cellStyle name="Hyperlink" xfId="3536" builtinId="8" hidden="1"/>
    <cellStyle name="Hyperlink" xfId="3538" builtinId="8" hidden="1"/>
    <cellStyle name="Hyperlink" xfId="3540" builtinId="8" hidden="1"/>
    <cellStyle name="Hyperlink" xfId="3542" builtinId="8" hidden="1"/>
    <cellStyle name="Hyperlink" xfId="3544" builtinId="8" hidden="1"/>
    <cellStyle name="Hyperlink" xfId="3546" builtinId="8" hidden="1"/>
    <cellStyle name="Hyperlink" xfId="3548" builtinId="8" hidden="1"/>
    <cellStyle name="Hyperlink" xfId="3550" builtinId="8" hidden="1"/>
    <cellStyle name="Hyperlink" xfId="3552" builtinId="8" hidden="1"/>
    <cellStyle name="Hyperlink" xfId="3554" builtinId="8" hidden="1"/>
    <cellStyle name="Hyperlink" xfId="3556" builtinId="8" hidden="1"/>
    <cellStyle name="Hyperlink" xfId="3558" builtinId="8" hidden="1"/>
    <cellStyle name="Hyperlink" xfId="3560" builtinId="8" hidden="1"/>
    <cellStyle name="Hyperlink" xfId="3562" builtinId="8" hidden="1"/>
    <cellStyle name="Hyperlink" xfId="3564" builtinId="8" hidden="1"/>
    <cellStyle name="Hyperlink" xfId="3566" builtinId="8" hidden="1"/>
    <cellStyle name="Hyperlink" xfId="3568" builtinId="8" hidden="1"/>
    <cellStyle name="Hyperlink" xfId="3570" builtinId="8" hidden="1"/>
    <cellStyle name="Hyperlink" xfId="3572" builtinId="8" hidden="1"/>
    <cellStyle name="Hyperlink" xfId="3574" builtinId="8" hidden="1"/>
    <cellStyle name="Hyperlink" xfId="3576" builtinId="8" hidden="1"/>
    <cellStyle name="Hyperlink" xfId="3578" builtinId="8" hidden="1"/>
    <cellStyle name="Hyperlink" xfId="3580" builtinId="8" hidden="1"/>
    <cellStyle name="Hyperlink" xfId="3582" builtinId="8" hidden="1"/>
    <cellStyle name="Hyperlink" xfId="3584" builtinId="8" hidden="1"/>
    <cellStyle name="Hyperlink" xfId="3586" builtinId="8" hidden="1"/>
    <cellStyle name="Hyperlink" xfId="3588" builtinId="8" hidden="1"/>
    <cellStyle name="Hyperlink" xfId="3590" builtinId="8" hidden="1"/>
    <cellStyle name="Hyperlink" xfId="3592" builtinId="8" hidden="1"/>
    <cellStyle name="Hyperlink" xfId="3594" builtinId="8" hidden="1"/>
    <cellStyle name="Hyperlink" xfId="3596" builtinId="8" hidden="1"/>
    <cellStyle name="Hyperlink" xfId="3598" builtinId="8" hidden="1"/>
    <cellStyle name="Hyperlink" xfId="3600" builtinId="8" hidden="1"/>
    <cellStyle name="Hyperlink" xfId="3602" builtinId="8" hidden="1"/>
    <cellStyle name="Hyperlink" xfId="3604" builtinId="8" hidden="1"/>
    <cellStyle name="Hyperlink" xfId="3606" builtinId="8" hidden="1"/>
    <cellStyle name="Hyperlink" xfId="3608" builtinId="8" hidden="1"/>
    <cellStyle name="Hyperlink" xfId="3610" builtinId="8" hidden="1"/>
    <cellStyle name="Hyperlink" xfId="3612" builtinId="8" hidden="1"/>
    <cellStyle name="Hyperlink" xfId="3614" builtinId="8" hidden="1"/>
    <cellStyle name="Hyperlink" xfId="3616" builtinId="8" hidden="1"/>
    <cellStyle name="Hyperlink" xfId="3618" builtinId="8" hidden="1"/>
    <cellStyle name="Hyperlink" xfId="3620" builtinId="8" hidden="1"/>
    <cellStyle name="Hyperlink" xfId="3622" builtinId="8" hidden="1"/>
    <cellStyle name="Hyperlink" xfId="3624" builtinId="8" hidden="1"/>
    <cellStyle name="Hyperlink" xfId="3626" builtinId="8" hidden="1"/>
    <cellStyle name="Hyperlink" xfId="3628" builtinId="8" hidden="1"/>
    <cellStyle name="Hyperlink" xfId="3630" builtinId="8" hidden="1"/>
    <cellStyle name="Hyperlink" xfId="3632" builtinId="8" hidden="1"/>
    <cellStyle name="Hyperlink" xfId="3634" builtinId="8" hidden="1"/>
    <cellStyle name="Hyperlink" xfId="3636" builtinId="8" hidden="1"/>
    <cellStyle name="Hyperlink" xfId="3638" builtinId="8" hidden="1"/>
    <cellStyle name="Hyperlink" xfId="3640" builtinId="8" hidden="1"/>
    <cellStyle name="Hyperlink" xfId="3642" builtinId="8" hidden="1"/>
    <cellStyle name="Hyperlink" xfId="3644" builtinId="8" hidden="1"/>
    <cellStyle name="Hyperlink" xfId="3646" builtinId="8" hidden="1"/>
    <cellStyle name="Hyperlink" xfId="3648" builtinId="8" hidden="1"/>
    <cellStyle name="Hyperlink" xfId="3650" builtinId="8" hidden="1"/>
    <cellStyle name="Hyperlink" xfId="3652" builtinId="8" hidden="1"/>
    <cellStyle name="Hyperlink" xfId="3654" builtinId="8" hidden="1"/>
    <cellStyle name="Hyperlink" xfId="3656" builtinId="8" hidden="1"/>
    <cellStyle name="Hyperlink" xfId="3658" builtinId="8" hidden="1"/>
    <cellStyle name="Hyperlink" xfId="3660" builtinId="8" hidden="1"/>
    <cellStyle name="Hyperlink" xfId="3662" builtinId="8" hidden="1"/>
    <cellStyle name="Hyperlink" xfId="3664" builtinId="8" hidden="1"/>
    <cellStyle name="Hyperlink" xfId="3666" builtinId="8" hidden="1"/>
    <cellStyle name="Hyperlink" xfId="3668" builtinId="8" hidden="1"/>
    <cellStyle name="Hyperlink" xfId="3670" builtinId="8" hidden="1"/>
    <cellStyle name="Hyperlink" xfId="3672" builtinId="8" hidden="1"/>
    <cellStyle name="Hyperlink" xfId="3674" builtinId="8" hidden="1"/>
    <cellStyle name="Hyperlink" xfId="3676" builtinId="8" hidden="1"/>
    <cellStyle name="Hyperlink" xfId="3678" builtinId="8" hidden="1"/>
    <cellStyle name="Hyperlink" xfId="3680" builtinId="8" hidden="1"/>
    <cellStyle name="Hyperlink" xfId="3682" builtinId="8" hidden="1"/>
    <cellStyle name="Hyperlink" xfId="3684" builtinId="8" hidden="1"/>
    <cellStyle name="Hyperlink" xfId="3686" builtinId="8" hidden="1"/>
    <cellStyle name="Hyperlink" xfId="3688" builtinId="8" hidden="1"/>
    <cellStyle name="Hyperlink" xfId="3690" builtinId="8" hidden="1"/>
    <cellStyle name="Hyperlink" xfId="3692" builtinId="8" hidden="1"/>
    <cellStyle name="Hyperlink" xfId="3694" builtinId="8" hidden="1"/>
    <cellStyle name="Hyperlink" xfId="3696" builtinId="8" hidden="1"/>
    <cellStyle name="Hyperlink" xfId="3698" builtinId="8" hidden="1"/>
    <cellStyle name="Hyperlink" xfId="3700" builtinId="8" hidden="1"/>
    <cellStyle name="Hyperlink" xfId="3702" builtinId="8" hidden="1"/>
    <cellStyle name="Hyperlink" xfId="3704" builtinId="8" hidden="1"/>
    <cellStyle name="Hyperlink" xfId="3706" builtinId="8" hidden="1"/>
    <cellStyle name="Hyperlink" xfId="3708" builtinId="8" hidden="1"/>
    <cellStyle name="Hyperlink" xfId="3710" builtinId="8" hidden="1"/>
    <cellStyle name="Hyperlink" xfId="3712" builtinId="8" hidden="1"/>
    <cellStyle name="Hyperlink" xfId="3714" builtinId="8" hidden="1"/>
    <cellStyle name="Hyperlink" xfId="3716" builtinId="8" hidden="1"/>
    <cellStyle name="Hyperlink" xfId="3718" builtinId="8" hidden="1"/>
    <cellStyle name="Hyperlink" xfId="3720" builtinId="8" hidden="1"/>
    <cellStyle name="Hyperlink" xfId="3722" builtinId="8" hidden="1"/>
    <cellStyle name="Hyperlink" xfId="3724" builtinId="8" hidden="1"/>
    <cellStyle name="Hyperlink" xfId="3726" builtinId="8" hidden="1"/>
    <cellStyle name="Hyperlink" xfId="3728" builtinId="8" hidden="1"/>
    <cellStyle name="Hyperlink" xfId="3730" builtinId="8" hidden="1"/>
    <cellStyle name="Hyperlink" xfId="3732" builtinId="8" hidden="1"/>
    <cellStyle name="Hyperlink" xfId="3734" builtinId="8" hidden="1"/>
    <cellStyle name="Hyperlink" xfId="3736" builtinId="8" hidden="1"/>
    <cellStyle name="Hyperlink" xfId="3738" builtinId="8" hidden="1"/>
    <cellStyle name="Hyperlink" xfId="3740" builtinId="8" hidden="1"/>
    <cellStyle name="Hyperlink" xfId="3742" builtinId="8" hidden="1"/>
    <cellStyle name="Hyperlink" xfId="3744" builtinId="8" hidden="1"/>
    <cellStyle name="Hyperlink" xfId="3746" builtinId="8" hidden="1"/>
    <cellStyle name="Hyperlink" xfId="3748" builtinId="8" hidden="1"/>
    <cellStyle name="Hyperlink" xfId="3750" builtinId="8" hidden="1"/>
    <cellStyle name="Hyperlink" xfId="3752" builtinId="8" hidden="1"/>
    <cellStyle name="Hyperlink" xfId="3754" builtinId="8" hidden="1"/>
    <cellStyle name="Hyperlink" xfId="3756" builtinId="8" hidden="1"/>
    <cellStyle name="Hyperlink" xfId="3758" builtinId="8" hidden="1"/>
    <cellStyle name="Hyperlink" xfId="3760" builtinId="8" hidden="1"/>
    <cellStyle name="Hyperlink" xfId="3762" builtinId="8" hidden="1"/>
    <cellStyle name="Hyperlink" xfId="3764" builtinId="8" hidden="1"/>
    <cellStyle name="Hyperlink" xfId="3766" builtinId="8" hidden="1"/>
    <cellStyle name="Hyperlink" xfId="3768" builtinId="8" hidden="1"/>
    <cellStyle name="Hyperlink" xfId="3770" builtinId="8" hidden="1"/>
    <cellStyle name="Hyperlink" xfId="3772" builtinId="8" hidden="1"/>
    <cellStyle name="Hyperlink" xfId="3774" builtinId="8" hidden="1"/>
    <cellStyle name="Hyperlink" xfId="3776" builtinId="8" hidden="1"/>
    <cellStyle name="Hyperlink" xfId="3778" builtinId="8" hidden="1"/>
    <cellStyle name="Hyperlink" xfId="3780" builtinId="8" hidden="1"/>
    <cellStyle name="Hyperlink" xfId="3782" builtinId="8" hidden="1"/>
    <cellStyle name="Hyperlink" xfId="3784" builtinId="8" hidden="1"/>
    <cellStyle name="Hyperlink" xfId="3786" builtinId="8" hidden="1"/>
    <cellStyle name="Hyperlink" xfId="3788" builtinId="8" hidden="1"/>
    <cellStyle name="Hyperlink" xfId="3790" builtinId="8" hidden="1"/>
    <cellStyle name="Hyperlink" xfId="3792" builtinId="8" hidden="1"/>
    <cellStyle name="Hyperlink" xfId="3794" builtinId="8" hidden="1"/>
    <cellStyle name="Hyperlink" xfId="3796" builtinId="8" hidden="1"/>
    <cellStyle name="Hyperlink" xfId="3798" builtinId="8" hidden="1"/>
    <cellStyle name="Hyperlink" xfId="3800" builtinId="8" hidden="1"/>
    <cellStyle name="Hyperlink" xfId="3802" builtinId="8" hidden="1"/>
    <cellStyle name="Hyperlink" xfId="3804" builtinId="8" hidden="1"/>
    <cellStyle name="Hyperlink" xfId="3806" builtinId="8" hidden="1"/>
    <cellStyle name="Hyperlink" xfId="3808" builtinId="8" hidden="1"/>
    <cellStyle name="Hyperlink" xfId="3810" builtinId="8" hidden="1"/>
    <cellStyle name="Hyperlink" xfId="3816" builtinId="8" hidden="1"/>
    <cellStyle name="Hyperlink" xfId="3818" builtinId="8" hidden="1"/>
    <cellStyle name="Hyperlink" xfId="3820" builtinId="8" hidden="1"/>
    <cellStyle name="Hyperlink" xfId="3822" builtinId="8" hidden="1"/>
    <cellStyle name="Hyperlink" xfId="3824" builtinId="8" hidden="1"/>
    <cellStyle name="Hyperlink" xfId="3826" builtinId="8" hidden="1"/>
    <cellStyle name="Hyperlink" xfId="3828" builtinId="8" hidden="1"/>
    <cellStyle name="Hyperlink" xfId="3830" builtinId="8" hidden="1"/>
    <cellStyle name="Hyperlink" xfId="3832" builtinId="8" hidden="1"/>
    <cellStyle name="Hyperlink" xfId="3834" builtinId="8" hidden="1"/>
    <cellStyle name="Hyperlink" xfId="3836" builtinId="8" hidden="1"/>
    <cellStyle name="Hyperlink" xfId="3838" builtinId="8" hidden="1"/>
    <cellStyle name="Hyperlink" xfId="3840" builtinId="8" hidden="1"/>
    <cellStyle name="Hyperlink" xfId="3842" builtinId="8" hidden="1"/>
    <cellStyle name="Hyperlink" xfId="3844" builtinId="8" hidden="1"/>
    <cellStyle name="Hyperlink" xfId="3846" builtinId="8" hidden="1"/>
    <cellStyle name="Hyperlink" xfId="3848" builtinId="8" hidden="1"/>
    <cellStyle name="Hyperlink" xfId="3850" builtinId="8" hidden="1"/>
    <cellStyle name="Hyperlink" xfId="3852" builtinId="8" hidden="1"/>
    <cellStyle name="Hyperlink" xfId="3854" builtinId="8" hidden="1"/>
    <cellStyle name="Hyperlink" xfId="3856" builtinId="8" hidden="1"/>
    <cellStyle name="Hyperlink" xfId="3858" builtinId="8" hidden="1"/>
    <cellStyle name="Hyperlink" xfId="3860" builtinId="8" hidden="1"/>
    <cellStyle name="Hyperlink" xfId="3862" builtinId="8" hidden="1"/>
    <cellStyle name="Hyperlink" xfId="3864" builtinId="8" hidden="1"/>
    <cellStyle name="Hyperlink" xfId="3866" builtinId="8" hidden="1"/>
    <cellStyle name="Hyperlink" xfId="3868" builtinId="8" hidden="1"/>
    <cellStyle name="Hyperlink" xfId="3870" builtinId="8" hidden="1"/>
    <cellStyle name="Hyperlink" xfId="3872" builtinId="8" hidden="1"/>
    <cellStyle name="Hyperlink" xfId="3874" builtinId="8" hidden="1"/>
    <cellStyle name="Hyperlink" xfId="3876" builtinId="8" hidden="1"/>
    <cellStyle name="Hyperlink" xfId="3878" builtinId="8" hidden="1"/>
    <cellStyle name="Hyperlink" xfId="3880" builtinId="8" hidden="1"/>
    <cellStyle name="Hyperlink" xfId="3882" builtinId="8" hidden="1"/>
    <cellStyle name="Hyperlink" xfId="3884" builtinId="8" hidden="1"/>
    <cellStyle name="Hyperlink" xfId="3886" builtinId="8" hidden="1"/>
    <cellStyle name="Hyperlink" xfId="3888" builtinId="8" hidden="1"/>
    <cellStyle name="Hyperlink" xfId="3890" builtinId="8" hidden="1"/>
    <cellStyle name="Hyperlink" xfId="3892" builtinId="8" hidden="1"/>
    <cellStyle name="Hyperlink" xfId="3894" builtinId="8" hidden="1"/>
    <cellStyle name="Hyperlink" xfId="3896" builtinId="8" hidden="1"/>
    <cellStyle name="Hyperlink" xfId="3898" builtinId="8" hidden="1"/>
    <cellStyle name="Hyperlink" xfId="3900" builtinId="8" hidden="1"/>
    <cellStyle name="Hyperlink" xfId="3902" builtinId="8" hidden="1"/>
    <cellStyle name="Hyperlink" xfId="3904" builtinId="8" hidden="1"/>
    <cellStyle name="Hyperlink" xfId="3906" builtinId="8" hidden="1"/>
    <cellStyle name="Hyperlink" xfId="3908" builtinId="8" hidden="1"/>
    <cellStyle name="Hyperlink" xfId="3910" builtinId="8" hidden="1"/>
    <cellStyle name="Hyperlink" xfId="3912" builtinId="8" hidden="1"/>
    <cellStyle name="Hyperlink" xfId="3914" builtinId="8" hidden="1"/>
    <cellStyle name="Hyperlink" xfId="3916" builtinId="8" hidden="1"/>
    <cellStyle name="Hyperlink" xfId="3918" builtinId="8" hidden="1"/>
    <cellStyle name="Hyperlink" xfId="3920" builtinId="8" hidden="1"/>
    <cellStyle name="Hyperlink" xfId="3922" builtinId="8" hidden="1"/>
    <cellStyle name="Hyperlink" xfId="3924" builtinId="8" hidden="1"/>
    <cellStyle name="Hyperlink" xfId="3926" builtinId="8" hidden="1"/>
    <cellStyle name="Hyperlink" xfId="3928" builtinId="8" hidden="1"/>
    <cellStyle name="Hyperlink" xfId="3930" builtinId="8" hidden="1"/>
    <cellStyle name="Hyperlink" xfId="3932" builtinId="8" hidden="1"/>
    <cellStyle name="Hyperlink" xfId="3934" builtinId="8" hidden="1"/>
    <cellStyle name="Hyperlink" xfId="3936" builtinId="8" hidden="1"/>
    <cellStyle name="Hyperlink" xfId="3938" builtinId="8" hidden="1"/>
    <cellStyle name="Hyperlink" xfId="3940" builtinId="8" hidden="1"/>
    <cellStyle name="Hyperlink" xfId="3942" builtinId="8" hidden="1"/>
    <cellStyle name="Hyperlink" xfId="3944" builtinId="8" hidden="1"/>
    <cellStyle name="Hyperlink" xfId="3946" builtinId="8" hidden="1"/>
    <cellStyle name="Hyperlink" xfId="3948" builtinId="8" hidden="1"/>
    <cellStyle name="Hyperlink" xfId="3950" builtinId="8" hidden="1"/>
    <cellStyle name="Hyperlink" xfId="3952" builtinId="8" hidden="1"/>
    <cellStyle name="Hyperlink" xfId="3954" builtinId="8" hidden="1"/>
    <cellStyle name="Hyperlink" xfId="3956" builtinId="8" hidden="1"/>
    <cellStyle name="Hyperlink" xfId="3958" builtinId="8" hidden="1"/>
    <cellStyle name="Hyperlink" xfId="3960" builtinId="8" hidden="1"/>
    <cellStyle name="Hyperlink" xfId="3962" builtinId="8" hidden="1"/>
    <cellStyle name="Hyperlink" xfId="3964" builtinId="8" hidden="1"/>
    <cellStyle name="Hyperlink" xfId="3966" builtinId="8" hidden="1"/>
    <cellStyle name="Hyperlink" xfId="3968" builtinId="8" hidden="1"/>
    <cellStyle name="Hyperlink" xfId="3970" builtinId="8" hidden="1"/>
    <cellStyle name="Hyperlink" xfId="3972" builtinId="8" hidden="1"/>
    <cellStyle name="Hyperlink" xfId="3974" builtinId="8" hidden="1"/>
    <cellStyle name="Hyperlink" xfId="3976" builtinId="8" hidden="1"/>
    <cellStyle name="Hyperlink" xfId="3978" builtinId="8" hidden="1"/>
    <cellStyle name="Hyperlink" xfId="3980" builtinId="8" hidden="1"/>
    <cellStyle name="Hyperlink" xfId="3982" builtinId="8" hidden="1"/>
    <cellStyle name="Hyperlink" xfId="3984" builtinId="8" hidden="1"/>
    <cellStyle name="Hyperlink" xfId="3986" builtinId="8" hidden="1"/>
    <cellStyle name="Hyperlink" xfId="3988" builtinId="8" hidden="1"/>
    <cellStyle name="Hyperlink" xfId="3990" builtinId="8" hidden="1"/>
    <cellStyle name="Hyperlink" xfId="3992" builtinId="8" hidden="1"/>
    <cellStyle name="Hyperlink" xfId="3994" builtinId="8" hidden="1"/>
    <cellStyle name="Hyperlink" xfId="3996" builtinId="8" hidden="1"/>
    <cellStyle name="Hyperlink" xfId="3998" builtinId="8" hidden="1"/>
    <cellStyle name="Hyperlink" xfId="4000" builtinId="8" hidden="1"/>
    <cellStyle name="Hyperlink" xfId="4002" builtinId="8" hidden="1"/>
    <cellStyle name="Hyperlink" xfId="4004" builtinId="8" hidden="1"/>
    <cellStyle name="Hyperlink" xfId="4006" builtinId="8" hidden="1"/>
    <cellStyle name="Hyperlink" xfId="4008" builtinId="8" hidden="1"/>
    <cellStyle name="Hyperlink" xfId="4010" builtinId="8" hidden="1"/>
    <cellStyle name="Hyperlink" xfId="4012" builtinId="8" hidden="1"/>
    <cellStyle name="Hyperlink" xfId="4014" builtinId="8" hidden="1"/>
    <cellStyle name="Hyperlink" xfId="4016" builtinId="8" hidden="1"/>
    <cellStyle name="Hyperlink" xfId="4018" builtinId="8" hidden="1"/>
    <cellStyle name="Hyperlink" xfId="4020" builtinId="8" hidden="1"/>
    <cellStyle name="Hyperlink" xfId="4022" builtinId="8" hidden="1"/>
    <cellStyle name="Hyperlink" xfId="4024" builtinId="8" hidden="1"/>
    <cellStyle name="Hyperlink" xfId="4026" builtinId="8" hidden="1"/>
    <cellStyle name="Hyperlink" xfId="4028" builtinId="8" hidden="1"/>
    <cellStyle name="Hyperlink" xfId="4030" builtinId="8" hidden="1"/>
    <cellStyle name="Hyperlink" xfId="4032" builtinId="8" hidden="1"/>
    <cellStyle name="Hyperlink" xfId="4034" builtinId="8" hidden="1"/>
    <cellStyle name="Hyperlink" xfId="4036" builtinId="8" hidden="1"/>
    <cellStyle name="Hyperlink" xfId="4038" builtinId="8" hidden="1"/>
    <cellStyle name="Hyperlink" xfId="4040" builtinId="8" hidden="1"/>
    <cellStyle name="Hyperlink" xfId="4042" builtinId="8" hidden="1"/>
    <cellStyle name="Hyperlink" xfId="4044" builtinId="8" hidden="1"/>
    <cellStyle name="Hyperlink" xfId="4046" builtinId="8" hidden="1"/>
    <cellStyle name="Hyperlink" xfId="4048" builtinId="8" hidden="1"/>
    <cellStyle name="Hyperlink" xfId="4050" builtinId="8" hidden="1"/>
    <cellStyle name="Hyperlink" xfId="4052" builtinId="8" hidden="1"/>
    <cellStyle name="Hyperlink" xfId="4054" builtinId="8" hidden="1"/>
    <cellStyle name="Hyperlink" xfId="4056" builtinId="8" hidden="1"/>
    <cellStyle name="Hyperlink" xfId="4058" builtinId="8" hidden="1"/>
    <cellStyle name="Hyperlink" xfId="4060" builtinId="8" hidden="1"/>
    <cellStyle name="Hyperlink" xfId="4062" builtinId="8" hidden="1"/>
    <cellStyle name="Hyperlink" xfId="4064" builtinId="8" hidden="1"/>
    <cellStyle name="Hyperlink" xfId="4066" builtinId="8" hidden="1"/>
    <cellStyle name="Hyperlink" xfId="4068" builtinId="8" hidden="1"/>
    <cellStyle name="Hyperlink" xfId="4070" builtinId="8" hidden="1"/>
    <cellStyle name="Hyperlink" xfId="4072" builtinId="8" hidden="1"/>
    <cellStyle name="Hyperlink" xfId="4074" builtinId="8" hidden="1"/>
    <cellStyle name="Hyperlink" xfId="4076" builtinId="8" hidden="1"/>
    <cellStyle name="Hyperlink" xfId="4078" builtinId="8" hidden="1"/>
    <cellStyle name="Hyperlink" xfId="4080" builtinId="8" hidden="1"/>
    <cellStyle name="Hyperlink" xfId="4082" builtinId="8" hidden="1"/>
    <cellStyle name="Hyperlink" xfId="4084" builtinId="8" hidden="1"/>
    <cellStyle name="Hyperlink" xfId="4086" builtinId="8" hidden="1"/>
    <cellStyle name="Hyperlink" xfId="4088" builtinId="8" hidden="1"/>
    <cellStyle name="Hyperlink" xfId="4090" builtinId="8" hidden="1"/>
    <cellStyle name="Hyperlink" xfId="4092" builtinId="8" hidden="1"/>
    <cellStyle name="Hyperlink" xfId="4094" builtinId="8" hidden="1"/>
    <cellStyle name="Hyperlink" xfId="4096" builtinId="8" hidden="1"/>
    <cellStyle name="Hyperlink" xfId="4098" builtinId="8" hidden="1"/>
    <cellStyle name="Hyperlink" xfId="4100" builtinId="8" hidden="1"/>
    <cellStyle name="Hyperlink" xfId="4102" builtinId="8" hidden="1"/>
    <cellStyle name="Hyperlink" xfId="4104" builtinId="8" hidden="1"/>
    <cellStyle name="Hyperlink" xfId="4106" builtinId="8" hidden="1"/>
    <cellStyle name="Hyperlink" xfId="4108" builtinId="8" hidden="1"/>
    <cellStyle name="Hyperlink" xfId="4110" builtinId="8" hidden="1"/>
    <cellStyle name="Hyperlink" xfId="4112" builtinId="8" hidden="1"/>
    <cellStyle name="Hyperlink" xfId="4114" builtinId="8" hidden="1"/>
    <cellStyle name="Hyperlink" xfId="4116" builtinId="8" hidden="1"/>
    <cellStyle name="Hyperlink" xfId="4118" builtinId="8" hidden="1"/>
    <cellStyle name="Hyperlink" xfId="4120" builtinId="8" hidden="1"/>
    <cellStyle name="Hyperlink" xfId="4122" builtinId="8" hidden="1"/>
    <cellStyle name="Hyperlink" xfId="4124" builtinId="8" hidden="1"/>
    <cellStyle name="Hyperlink" xfId="4126" builtinId="8" hidden="1"/>
    <cellStyle name="Hyperlink" xfId="4128" builtinId="8" hidden="1"/>
    <cellStyle name="Hyperlink" xfId="4130" builtinId="8" hidden="1"/>
    <cellStyle name="Hyperlink" xfId="4132" builtinId="8" hidden="1"/>
    <cellStyle name="Hyperlink" xfId="4134" builtinId="8" hidden="1"/>
    <cellStyle name="Hyperlink" xfId="4136" builtinId="8" hidden="1"/>
    <cellStyle name="Hyperlink" xfId="4138" builtinId="8" hidden="1"/>
    <cellStyle name="Hyperlink" xfId="4140" builtinId="8" hidden="1"/>
    <cellStyle name="Hyperlink" xfId="4142" builtinId="8" hidden="1"/>
    <cellStyle name="Hyperlink" xfId="4144" builtinId="8" hidden="1"/>
    <cellStyle name="Hyperlink" xfId="4146" builtinId="8" hidden="1"/>
    <cellStyle name="Hyperlink" xfId="4148" builtinId="8" hidden="1"/>
    <cellStyle name="Hyperlink" xfId="4150" builtinId="8" hidden="1"/>
    <cellStyle name="Hyperlink" xfId="4152" builtinId="8" hidden="1"/>
    <cellStyle name="Hyperlink" xfId="4154" builtinId="8" hidden="1"/>
    <cellStyle name="Hyperlink" xfId="4156" builtinId="8" hidden="1"/>
    <cellStyle name="Hyperlink" xfId="4158" builtinId="8" hidden="1"/>
    <cellStyle name="Hyperlink" xfId="4160" builtinId="8" hidden="1"/>
    <cellStyle name="Hyperlink" xfId="4162" builtinId="8" hidden="1"/>
    <cellStyle name="Hyperlink" xfId="4164" builtinId="8" hidden="1"/>
    <cellStyle name="Hyperlink" xfId="4166" builtinId="8" hidden="1"/>
    <cellStyle name="Hyperlink" xfId="4168" builtinId="8" hidden="1"/>
    <cellStyle name="Hyperlink" xfId="4170" builtinId="8" hidden="1"/>
    <cellStyle name="Hyperlink" xfId="4172" builtinId="8" hidden="1"/>
    <cellStyle name="Hyperlink" xfId="4174" builtinId="8" hidden="1"/>
    <cellStyle name="Hyperlink" xfId="4176" builtinId="8" hidden="1"/>
    <cellStyle name="Hyperlink" xfId="4178" builtinId="8" hidden="1"/>
    <cellStyle name="Hyperlink" xfId="4180" builtinId="8" hidden="1"/>
    <cellStyle name="Hyperlink" xfId="4182" builtinId="8" hidden="1"/>
    <cellStyle name="Hyperlink" xfId="4184" builtinId="8" hidden="1"/>
    <cellStyle name="Hyperlink" xfId="4186" builtinId="8" hidden="1"/>
    <cellStyle name="Hyperlink" xfId="4188" builtinId="8" hidden="1"/>
    <cellStyle name="Hyperlink" xfId="4190" builtinId="8" hidden="1"/>
    <cellStyle name="Hyperlink" xfId="4192" builtinId="8" hidden="1"/>
    <cellStyle name="Hyperlink" xfId="4194" builtinId="8" hidden="1"/>
    <cellStyle name="Hyperlink" xfId="4196" builtinId="8" hidden="1"/>
    <cellStyle name="Hyperlink" xfId="4198" builtinId="8" hidden="1"/>
    <cellStyle name="Hyperlink" xfId="4200" builtinId="8" hidden="1"/>
    <cellStyle name="Hyperlink" xfId="4202" builtinId="8" hidden="1"/>
    <cellStyle name="Hyperlink" xfId="4204" builtinId="8" hidden="1"/>
    <cellStyle name="Hyperlink" xfId="4206" builtinId="8" hidden="1"/>
    <cellStyle name="Hyperlink" xfId="4208" builtinId="8" hidden="1"/>
    <cellStyle name="Hyperlink" xfId="4210" builtinId="8" hidden="1"/>
    <cellStyle name="Hyperlink" xfId="4212" builtinId="8" hidden="1"/>
    <cellStyle name="Hyperlink" xfId="4214" builtinId="8" hidden="1"/>
    <cellStyle name="Hyperlink" xfId="4216" builtinId="8" hidden="1"/>
    <cellStyle name="Hyperlink" xfId="4218" builtinId="8" hidden="1"/>
    <cellStyle name="Hyperlink" xfId="4220" builtinId="8" hidden="1"/>
    <cellStyle name="Hyperlink" xfId="4222" builtinId="8" hidden="1"/>
    <cellStyle name="Hyperlink" xfId="4224" builtinId="8" hidden="1"/>
    <cellStyle name="Hyperlink" xfId="4226" builtinId="8" hidden="1"/>
    <cellStyle name="Hyperlink" xfId="4228" builtinId="8" hidden="1"/>
    <cellStyle name="Hyperlink" xfId="4230" builtinId="8" hidden="1"/>
    <cellStyle name="Hyperlink" xfId="4232" builtinId="8" hidden="1"/>
    <cellStyle name="Hyperlink" xfId="4234" builtinId="8" hidden="1"/>
    <cellStyle name="Hyperlink" xfId="4236" builtinId="8" hidden="1"/>
    <cellStyle name="Hyperlink" xfId="4238" builtinId="8" hidden="1"/>
    <cellStyle name="Hyperlink" xfId="4240" builtinId="8" hidden="1"/>
    <cellStyle name="Hyperlink" xfId="4242" builtinId="8" hidden="1"/>
    <cellStyle name="Hyperlink" xfId="4244" builtinId="8" hidden="1"/>
    <cellStyle name="Hyperlink" xfId="4246" builtinId="8" hidden="1"/>
    <cellStyle name="Hyperlink" xfId="4248" builtinId="8" hidden="1"/>
    <cellStyle name="Hyperlink" xfId="4250" builtinId="8" hidden="1"/>
    <cellStyle name="Hyperlink" xfId="4252" builtinId="8" hidden="1"/>
    <cellStyle name="Hyperlink" xfId="4254" builtinId="8" hidden="1"/>
    <cellStyle name="Hyperlink" xfId="4256" builtinId="8" hidden="1"/>
    <cellStyle name="Hyperlink" xfId="4258" builtinId="8" hidden="1"/>
    <cellStyle name="Hyperlink" xfId="4260" builtinId="8" hidden="1"/>
    <cellStyle name="Hyperlink" xfId="4262" builtinId="8" hidden="1"/>
    <cellStyle name="Hyperlink" xfId="4264" builtinId="8" hidden="1"/>
    <cellStyle name="Hyperlink" xfId="4266" builtinId="8" hidden="1"/>
    <cellStyle name="Hyperlink" xfId="4268" builtinId="8" hidden="1"/>
    <cellStyle name="Hyperlink" xfId="4270" builtinId="8" hidden="1"/>
    <cellStyle name="Hyperlink" xfId="4272" builtinId="8" hidden="1"/>
    <cellStyle name="Hyperlink" xfId="4274" builtinId="8" hidden="1"/>
    <cellStyle name="Hyperlink" xfId="4276" builtinId="8" hidden="1"/>
    <cellStyle name="Hyperlink" xfId="4278" builtinId="8" hidden="1"/>
    <cellStyle name="Hyperlink" xfId="4280" builtinId="8" hidden="1"/>
    <cellStyle name="Hyperlink" xfId="4282" builtinId="8" hidden="1"/>
    <cellStyle name="Hyperlink" xfId="4284" builtinId="8" hidden="1"/>
    <cellStyle name="Hyperlink" xfId="4286" builtinId="8" hidden="1"/>
    <cellStyle name="Hyperlink" xfId="4288" builtinId="8" hidden="1"/>
    <cellStyle name="Hyperlink" xfId="4290" builtinId="8" hidden="1"/>
    <cellStyle name="Hyperlink" xfId="4292" builtinId="8" hidden="1"/>
    <cellStyle name="Hyperlink" xfId="4294" builtinId="8" hidden="1"/>
    <cellStyle name="Hyperlink" xfId="4296" builtinId="8" hidden="1"/>
    <cellStyle name="Hyperlink" xfId="4298" builtinId="8" hidden="1"/>
    <cellStyle name="Hyperlink" xfId="4300" builtinId="8" hidden="1"/>
    <cellStyle name="Hyperlink" xfId="4302" builtinId="8" hidden="1"/>
    <cellStyle name="Hyperlink" xfId="4304" builtinId="8" hidden="1"/>
    <cellStyle name="Hyperlink" xfId="4306" builtinId="8" hidden="1"/>
    <cellStyle name="Hyperlink" xfId="4308" builtinId="8" hidden="1"/>
    <cellStyle name="Hyperlink" xfId="4310" builtinId="8" hidden="1"/>
    <cellStyle name="Hyperlink" xfId="4312" builtinId="8" hidden="1"/>
    <cellStyle name="Hyperlink" xfId="4314" builtinId="8" hidden="1"/>
    <cellStyle name="Hyperlink" xfId="4316" builtinId="8" hidden="1"/>
    <cellStyle name="Hyperlink" xfId="4318" builtinId="8" hidden="1"/>
    <cellStyle name="Hyperlink" xfId="4320" builtinId="8" hidden="1"/>
    <cellStyle name="Hyperlink" xfId="4322" builtinId="8" hidden="1"/>
    <cellStyle name="Hyperlink" xfId="4324" builtinId="8" hidden="1"/>
    <cellStyle name="Hyperlink" xfId="4326" builtinId="8" hidden="1"/>
    <cellStyle name="Hyperlink" xfId="4328" builtinId="8" hidden="1"/>
    <cellStyle name="Hyperlink" xfId="4330" builtinId="8" hidden="1"/>
    <cellStyle name="Hyperlink" xfId="4332" builtinId="8" hidden="1"/>
    <cellStyle name="Hyperlink" xfId="4334" builtinId="8" hidden="1"/>
    <cellStyle name="Hyperlink" xfId="4336" builtinId="8" hidden="1"/>
    <cellStyle name="Hyperlink" xfId="4338" builtinId="8" hidden="1"/>
    <cellStyle name="Hyperlink" xfId="4340" builtinId="8" hidden="1"/>
    <cellStyle name="Hyperlink" xfId="4342" builtinId="8" hidden="1"/>
    <cellStyle name="Hyperlink" xfId="4344" builtinId="8" hidden="1"/>
    <cellStyle name="Hyperlink" xfId="4346" builtinId="8" hidden="1"/>
    <cellStyle name="Hyperlink" xfId="4348" builtinId="8" hidden="1"/>
    <cellStyle name="Hyperlink" xfId="4350" builtinId="8" hidden="1"/>
    <cellStyle name="Hyperlink" xfId="4352" builtinId="8" hidden="1"/>
    <cellStyle name="Hyperlink" xfId="4354" builtinId="8" hidden="1"/>
    <cellStyle name="Hyperlink" xfId="4356" builtinId="8" hidden="1"/>
    <cellStyle name="Hyperlink" xfId="4358" builtinId="8" hidden="1"/>
    <cellStyle name="Hyperlink" xfId="4360" builtinId="8" hidden="1"/>
    <cellStyle name="Hyperlink" xfId="4362" builtinId="8" hidden="1"/>
    <cellStyle name="Hyperlink" xfId="4364" builtinId="8" hidden="1"/>
    <cellStyle name="Hyperlink" xfId="4366" builtinId="8" hidden="1"/>
    <cellStyle name="Hyperlink" xfId="4368" builtinId="8" hidden="1"/>
    <cellStyle name="Hyperlink" xfId="4370" builtinId="8" hidden="1"/>
    <cellStyle name="Hyperlink" xfId="4372" builtinId="8" hidden="1"/>
    <cellStyle name="Hyperlink" xfId="4374" builtinId="8" hidden="1"/>
    <cellStyle name="Hyperlink" xfId="4376" builtinId="8" hidden="1"/>
    <cellStyle name="Hyperlink" xfId="4378" builtinId="8" hidden="1"/>
    <cellStyle name="Hyperlink" xfId="4380" builtinId="8" hidden="1"/>
    <cellStyle name="Hyperlink" xfId="4382" builtinId="8" hidden="1"/>
    <cellStyle name="Hyperlink" xfId="4384" builtinId="8" hidden="1"/>
    <cellStyle name="Hyperlink" xfId="4386" builtinId="8" hidden="1"/>
    <cellStyle name="Hyperlink" xfId="4388" builtinId="8" hidden="1"/>
    <cellStyle name="Hyperlink" xfId="4390" builtinId="8" hidden="1"/>
    <cellStyle name="Hyperlink" xfId="4392" builtinId="8" hidden="1"/>
    <cellStyle name="Hyperlink" xfId="4394" builtinId="8" hidden="1"/>
    <cellStyle name="Hyperlink" xfId="4396" builtinId="8" hidden="1"/>
    <cellStyle name="Hyperlink" xfId="4398" builtinId="8" hidden="1"/>
    <cellStyle name="Hyperlink" xfId="4400" builtinId="8" hidden="1"/>
    <cellStyle name="Hyperlink" xfId="4402" builtinId="8" hidden="1"/>
    <cellStyle name="Hyperlink" xfId="4404" builtinId="8" hidden="1"/>
    <cellStyle name="Hyperlink" xfId="4406" builtinId="8" hidden="1"/>
    <cellStyle name="Hyperlink" xfId="4408" builtinId="8" hidden="1"/>
    <cellStyle name="Hyperlink" xfId="4410" builtinId="8" hidden="1"/>
    <cellStyle name="Hyperlink" xfId="4412" builtinId="8" hidden="1"/>
    <cellStyle name="Hyperlink" xfId="4414" builtinId="8" hidden="1"/>
    <cellStyle name="Hyperlink" xfId="4416" builtinId="8" hidden="1"/>
    <cellStyle name="Hyperlink" xfId="4418" builtinId="8" hidden="1"/>
    <cellStyle name="Hyperlink" xfId="4420" builtinId="8" hidden="1"/>
    <cellStyle name="Hyperlink" xfId="4422" builtinId="8" hidden="1"/>
    <cellStyle name="Hyperlink" xfId="4424" builtinId="8" hidden="1"/>
    <cellStyle name="Hyperlink" xfId="4426" builtinId="8" hidden="1"/>
    <cellStyle name="Hyperlink" xfId="4428" builtinId="8" hidden="1"/>
    <cellStyle name="Hyperlink" xfId="4430" builtinId="8" hidden="1"/>
    <cellStyle name="Hyperlink" xfId="4432" builtinId="8" hidden="1"/>
    <cellStyle name="Hyperlink" xfId="4434" builtinId="8" hidden="1"/>
    <cellStyle name="Hyperlink" xfId="4436" builtinId="8" hidden="1"/>
    <cellStyle name="Hyperlink" xfId="4438" builtinId="8" hidden="1"/>
    <cellStyle name="Hyperlink" xfId="4440" builtinId="8" hidden="1"/>
    <cellStyle name="Hyperlink" xfId="4442" builtinId="8" hidden="1"/>
    <cellStyle name="Hyperlink" xfId="4444" builtinId="8" hidden="1"/>
    <cellStyle name="Hyperlink" xfId="4446" builtinId="8" hidden="1"/>
    <cellStyle name="Hyperlink" xfId="4448" builtinId="8" hidden="1"/>
    <cellStyle name="Hyperlink" xfId="4450" builtinId="8" hidden="1"/>
    <cellStyle name="Hyperlink" xfId="4452" builtinId="8" hidden="1"/>
    <cellStyle name="Hyperlink" xfId="4454" builtinId="8" hidden="1"/>
    <cellStyle name="Hyperlink" xfId="4456" builtinId="8" hidden="1"/>
    <cellStyle name="Hyperlink" xfId="4458" builtinId="8" hidden="1"/>
    <cellStyle name="Hyperlink" xfId="4460" builtinId="8" hidden="1"/>
    <cellStyle name="Hyperlink" xfId="4462" builtinId="8" hidden="1"/>
    <cellStyle name="Hyperlink" xfId="4464" builtinId="8" hidden="1"/>
    <cellStyle name="Hyperlink" xfId="4466" builtinId="8" hidden="1"/>
    <cellStyle name="Hyperlink" xfId="4468" builtinId="8" hidden="1"/>
    <cellStyle name="Hyperlink" xfId="4470" builtinId="8" hidden="1"/>
    <cellStyle name="Hyperlink" xfId="4472" builtinId="8" hidden="1"/>
    <cellStyle name="Hyperlink" xfId="4474" builtinId="8" hidden="1"/>
    <cellStyle name="Hyperlink" xfId="4476" builtinId="8" hidden="1"/>
    <cellStyle name="Hyperlink" xfId="4478" builtinId="8" hidden="1"/>
    <cellStyle name="Hyperlink" xfId="4480" builtinId="8" hidden="1"/>
    <cellStyle name="Hyperlink" xfId="4482" builtinId="8" hidden="1"/>
    <cellStyle name="Hyperlink" xfId="4484" builtinId="8" hidden="1"/>
    <cellStyle name="Hyperlink" xfId="4486" builtinId="8" hidden="1"/>
    <cellStyle name="Hyperlink" xfId="4488" builtinId="8" hidden="1"/>
    <cellStyle name="Hyperlink" xfId="4490" builtinId="8" hidden="1"/>
    <cellStyle name="Hyperlink" xfId="4492" builtinId="8" hidden="1"/>
    <cellStyle name="Hyperlink" xfId="4494" builtinId="8" hidden="1"/>
    <cellStyle name="Hyperlink" xfId="4496" builtinId="8" hidden="1"/>
    <cellStyle name="Hyperlink" xfId="4498" builtinId="8" hidden="1"/>
    <cellStyle name="Hyperlink" xfId="4500" builtinId="8" hidden="1"/>
    <cellStyle name="Hyperlink" xfId="4502" builtinId="8" hidden="1"/>
    <cellStyle name="Hyperlink" xfId="4504" builtinId="8" hidden="1"/>
    <cellStyle name="Hyperlink" xfId="4506" builtinId="8" hidden="1"/>
    <cellStyle name="Hyperlink" xfId="4508" builtinId="8" hidden="1"/>
    <cellStyle name="Hyperlink" xfId="4510" builtinId="8" hidden="1"/>
    <cellStyle name="Hyperlink" xfId="4512" builtinId="8" hidden="1"/>
    <cellStyle name="Hyperlink" xfId="4514" builtinId="8" hidden="1"/>
    <cellStyle name="Hyperlink" xfId="4516" builtinId="8" hidden="1"/>
    <cellStyle name="Hyperlink" xfId="4518" builtinId="8" hidden="1"/>
    <cellStyle name="Hyperlink" xfId="4520" builtinId="8" hidden="1"/>
    <cellStyle name="Hyperlink" xfId="4522" builtinId="8" hidden="1"/>
    <cellStyle name="Hyperlink" xfId="4524" builtinId="8" hidden="1"/>
    <cellStyle name="Hyperlink" xfId="4526" builtinId="8" hidden="1"/>
    <cellStyle name="Hyperlink" xfId="4528" builtinId="8" hidden="1"/>
    <cellStyle name="Hyperlink" xfId="4530" builtinId="8" hidden="1"/>
    <cellStyle name="Hyperlink" xfId="4532" builtinId="8" hidden="1"/>
    <cellStyle name="Hyperlink" xfId="4534" builtinId="8" hidden="1"/>
    <cellStyle name="Hyperlink" xfId="4536" builtinId="8" hidden="1"/>
    <cellStyle name="Hyperlink" xfId="4538" builtinId="8" hidden="1"/>
    <cellStyle name="Hyperlink" xfId="4540" builtinId="8" hidden="1"/>
    <cellStyle name="Hyperlink" xfId="4542" builtinId="8" hidden="1"/>
    <cellStyle name="Hyperlink" xfId="4544" builtinId="8" hidden="1"/>
    <cellStyle name="Hyperlink" xfId="4546" builtinId="8" hidden="1"/>
    <cellStyle name="Hyperlink" xfId="4548" builtinId="8" hidden="1"/>
    <cellStyle name="Hyperlink" xfId="4550" builtinId="8" hidden="1"/>
    <cellStyle name="Hyperlink" xfId="4552" builtinId="8" hidden="1"/>
    <cellStyle name="Hyperlink" xfId="4554" builtinId="8" hidden="1"/>
    <cellStyle name="Hyperlink" xfId="4556" builtinId="8" hidden="1"/>
    <cellStyle name="Hyperlink" xfId="4558" builtinId="8" hidden="1"/>
    <cellStyle name="Hyperlink" xfId="4560" builtinId="8" hidden="1"/>
    <cellStyle name="Hyperlink" xfId="4562" builtinId="8" hidden="1"/>
    <cellStyle name="Hyperlink" xfId="4564" builtinId="8" hidden="1"/>
    <cellStyle name="Hyperlink" xfId="4566" builtinId="8" hidden="1"/>
    <cellStyle name="Hyperlink" xfId="4568" builtinId="8" hidden="1"/>
    <cellStyle name="Hyperlink" xfId="4570" builtinId="8" hidden="1"/>
    <cellStyle name="Hyperlink" xfId="4572" builtinId="8" hidden="1"/>
    <cellStyle name="Hyperlink" xfId="4574" builtinId="8" hidden="1"/>
    <cellStyle name="Hyperlink" xfId="4576" builtinId="8" hidden="1"/>
    <cellStyle name="Hyperlink" xfId="4578" builtinId="8" hidden="1"/>
    <cellStyle name="Hyperlink" xfId="4580" builtinId="8" hidden="1"/>
    <cellStyle name="Hyperlink" xfId="4582" builtinId="8" hidden="1"/>
    <cellStyle name="Hyperlink" xfId="4584" builtinId="8" hidden="1"/>
    <cellStyle name="Hyperlink" xfId="4586" builtinId="8" hidden="1"/>
    <cellStyle name="Hyperlink" xfId="4588" builtinId="8" hidden="1"/>
    <cellStyle name="Hyperlink" xfId="4590" builtinId="8" hidden="1"/>
    <cellStyle name="Hyperlink" xfId="4592" builtinId="8" hidden="1"/>
    <cellStyle name="Hyperlink" xfId="4594" builtinId="8" hidden="1"/>
    <cellStyle name="Hyperlink" xfId="4596" builtinId="8" hidden="1"/>
    <cellStyle name="Hyperlink" xfId="4598" builtinId="8" hidden="1"/>
    <cellStyle name="Hyperlink" xfId="4600" builtinId="8" hidden="1"/>
    <cellStyle name="Hyperlink" xfId="4602" builtinId="8" hidden="1"/>
    <cellStyle name="Hyperlink" xfId="4604" builtinId="8" hidden="1"/>
    <cellStyle name="Hyperlink" xfId="4606" builtinId="8" hidden="1"/>
    <cellStyle name="Hyperlink" xfId="4608" builtinId="8" hidden="1"/>
    <cellStyle name="Hyperlink" xfId="4610" builtinId="8" hidden="1"/>
    <cellStyle name="Hyperlink" xfId="4612" builtinId="8" hidden="1"/>
    <cellStyle name="Hyperlink" xfId="4614" builtinId="8" hidden="1"/>
    <cellStyle name="Hyperlink" xfId="4616" builtinId="8" hidden="1"/>
    <cellStyle name="Hyperlink" xfId="4618" builtinId="8" hidden="1"/>
    <cellStyle name="Hyperlink" xfId="4620" builtinId="8" hidden="1"/>
    <cellStyle name="Hyperlink" xfId="4622" builtinId="8" hidden="1"/>
    <cellStyle name="Hyperlink" xfId="4624" builtinId="8" hidden="1"/>
    <cellStyle name="Hyperlink" xfId="4626" builtinId="8" hidden="1"/>
    <cellStyle name="Hyperlink" xfId="4628" builtinId="8" hidden="1"/>
    <cellStyle name="Hyperlink" xfId="4630" builtinId="8" hidden="1"/>
    <cellStyle name="Hyperlink" xfId="4632" builtinId="8" hidden="1"/>
    <cellStyle name="Hyperlink" xfId="4634" builtinId="8" hidden="1"/>
    <cellStyle name="Hyperlink" xfId="4636" builtinId="8" hidden="1"/>
    <cellStyle name="Hyperlink" xfId="4638" builtinId="8" hidden="1"/>
    <cellStyle name="Hyperlink" xfId="4640" builtinId="8" hidden="1"/>
    <cellStyle name="Hyperlink" xfId="4642" builtinId="8" hidden="1"/>
    <cellStyle name="Hyperlink" xfId="4644" builtinId="8" hidden="1"/>
    <cellStyle name="Hyperlink" xfId="4646" builtinId="8" hidden="1"/>
    <cellStyle name="Hyperlink" xfId="4648" builtinId="8" hidden="1"/>
    <cellStyle name="Hyperlink" xfId="4650" builtinId="8" hidden="1"/>
    <cellStyle name="Hyperlink" xfId="4652" builtinId="8" hidden="1"/>
    <cellStyle name="Hyperlink" xfId="4654" builtinId="8" hidden="1"/>
    <cellStyle name="Hyperlink" xfId="4656" builtinId="8" hidden="1"/>
    <cellStyle name="Hyperlink" xfId="4658" builtinId="8" hidden="1"/>
    <cellStyle name="Hyperlink" xfId="4660" builtinId="8" hidden="1"/>
    <cellStyle name="Hyperlink" xfId="4662" builtinId="8" hidden="1"/>
    <cellStyle name="Hyperlink" xfId="4664" builtinId="8" hidden="1"/>
    <cellStyle name="Hyperlink" xfId="4666" builtinId="8" hidden="1"/>
    <cellStyle name="Hyperlink" xfId="4668" builtinId="8" hidden="1"/>
    <cellStyle name="Hyperlink" xfId="4670" builtinId="8" hidden="1"/>
    <cellStyle name="Hyperlink" xfId="4672" builtinId="8" hidden="1"/>
    <cellStyle name="Hyperlink" xfId="4674" builtinId="8" hidden="1"/>
    <cellStyle name="Hyperlink" xfId="4676" builtinId="8" hidden="1"/>
    <cellStyle name="Hyperlink" xfId="4678" builtinId="8" hidden="1"/>
    <cellStyle name="Hyperlink" xfId="4680" builtinId="8" hidden="1"/>
    <cellStyle name="Hyperlink" xfId="4682" builtinId="8" hidden="1"/>
    <cellStyle name="Hyperlink" xfId="4684" builtinId="8" hidden="1"/>
    <cellStyle name="Hyperlink" xfId="4686" builtinId="8" hidden="1"/>
    <cellStyle name="Hyperlink" xfId="4688" builtinId="8" hidden="1"/>
    <cellStyle name="Hyperlink" xfId="4690" builtinId="8" hidden="1"/>
    <cellStyle name="Hyperlink" xfId="4692" builtinId="8" hidden="1"/>
    <cellStyle name="Hyperlink" xfId="4694" builtinId="8" hidden="1"/>
    <cellStyle name="Hyperlink" xfId="4696" builtinId="8" hidden="1"/>
    <cellStyle name="Hyperlink" xfId="4698" builtinId="8" hidden="1"/>
    <cellStyle name="Hyperlink" xfId="4700" builtinId="8" hidden="1"/>
    <cellStyle name="Hyperlink" xfId="4702" builtinId="8" hidden="1"/>
    <cellStyle name="Hyperlink" xfId="4704" builtinId="8" hidden="1"/>
    <cellStyle name="Hyperlink" xfId="4706" builtinId="8" hidden="1"/>
    <cellStyle name="Hyperlink" xfId="4708" builtinId="8" hidden="1"/>
    <cellStyle name="Hyperlink" xfId="4710" builtinId="8" hidden="1"/>
    <cellStyle name="Hyperlink" xfId="4712" builtinId="8" hidden="1"/>
    <cellStyle name="Hyperlink" xfId="4714" builtinId="8" hidden="1"/>
    <cellStyle name="Hyperlink" xfId="4716" builtinId="8" hidden="1"/>
    <cellStyle name="Hyperlink" xfId="4718" builtinId="8" hidden="1"/>
    <cellStyle name="Hyperlink" xfId="4720" builtinId="8" hidden="1"/>
    <cellStyle name="Hyperlink" xfId="4722" builtinId="8" hidden="1"/>
    <cellStyle name="Hyperlink" xfId="4724" builtinId="8" hidden="1"/>
    <cellStyle name="Hyperlink" xfId="4726" builtinId="8" hidden="1"/>
    <cellStyle name="Hyperlink" xfId="4728" builtinId="8" hidden="1"/>
    <cellStyle name="Hyperlink" xfId="4730" builtinId="8" hidden="1"/>
    <cellStyle name="Hyperlink" xfId="4732" builtinId="8" hidden="1"/>
    <cellStyle name="Hyperlink" xfId="4734" builtinId="8" hidden="1"/>
    <cellStyle name="Hyperlink" xfId="4736" builtinId="8" hidden="1"/>
    <cellStyle name="Hyperlink" xfId="4738" builtinId="8" hidden="1"/>
    <cellStyle name="Hyperlink" xfId="4740" builtinId="8" hidden="1"/>
    <cellStyle name="Hyperlink" xfId="4742" builtinId="8" hidden="1"/>
    <cellStyle name="Hyperlink" xfId="4744" builtinId="8" hidden="1"/>
    <cellStyle name="Hyperlink" xfId="4746" builtinId="8" hidden="1"/>
    <cellStyle name="Hyperlink" xfId="4748" builtinId="8" hidden="1"/>
    <cellStyle name="Hyperlink" xfId="4750" builtinId="8" hidden="1"/>
    <cellStyle name="Hyperlink" xfId="4752" builtinId="8" hidden="1"/>
    <cellStyle name="Hyperlink" xfId="4754" builtinId="8" hidden="1"/>
    <cellStyle name="Hyperlink" xfId="4756" builtinId="8" hidden="1"/>
    <cellStyle name="Hyperlink" xfId="4758" builtinId="8" hidden="1"/>
    <cellStyle name="Hyperlink" xfId="4760" builtinId="8" hidden="1"/>
    <cellStyle name="Hyperlink" xfId="4762" builtinId="8" hidden="1"/>
    <cellStyle name="Hyperlink" xfId="4764" builtinId="8" hidden="1"/>
    <cellStyle name="Hyperlink" xfId="4766" builtinId="8" hidden="1"/>
    <cellStyle name="Hyperlink" xfId="4768" builtinId="8" hidden="1"/>
    <cellStyle name="Hyperlink" xfId="4770" builtinId="8" hidden="1"/>
    <cellStyle name="Hyperlink" xfId="4772" builtinId="8" hidden="1"/>
    <cellStyle name="Hyperlink" xfId="4774" builtinId="8" hidden="1"/>
    <cellStyle name="Hyperlink" xfId="4776" builtinId="8" hidden="1"/>
    <cellStyle name="Hyperlink" xfId="4778" builtinId="8" hidden="1"/>
    <cellStyle name="Hyperlink" xfId="4780" builtinId="8" hidden="1"/>
    <cellStyle name="Hyperlink" xfId="4782" builtinId="8" hidden="1"/>
    <cellStyle name="Hyperlink" xfId="4784" builtinId="8" hidden="1"/>
    <cellStyle name="Hyperlink" xfId="4786" builtinId="8" hidden="1"/>
    <cellStyle name="Hyperlink" xfId="4788" builtinId="8" hidden="1"/>
    <cellStyle name="Hyperlink" xfId="4790" builtinId="8" hidden="1"/>
    <cellStyle name="Hyperlink" xfId="4792" builtinId="8" hidden="1"/>
    <cellStyle name="Hyperlink" xfId="4794" builtinId="8" hidden="1"/>
    <cellStyle name="Hyperlink" xfId="4796" builtinId="8" hidden="1"/>
    <cellStyle name="Hyperlink" xfId="4798" builtinId="8" hidden="1"/>
    <cellStyle name="Hyperlink" xfId="4800" builtinId="8" hidden="1"/>
    <cellStyle name="Hyperlink" xfId="4802" builtinId="8" hidden="1"/>
    <cellStyle name="Hyperlink" xfId="4804" builtinId="8" hidden="1"/>
    <cellStyle name="Hyperlink" xfId="4806" builtinId="8" hidden="1"/>
    <cellStyle name="Hyperlink" xfId="4808" builtinId="8" hidden="1"/>
    <cellStyle name="Hyperlink" xfId="4810" builtinId="8" hidden="1"/>
    <cellStyle name="Hyperlink" xfId="4812" builtinId="8" hidden="1"/>
    <cellStyle name="Hyperlink" xfId="4814" builtinId="8" hidden="1"/>
    <cellStyle name="Hyperlink" xfId="4816" builtinId="8" hidden="1"/>
    <cellStyle name="Hyperlink" xfId="4818" builtinId="8" hidden="1"/>
    <cellStyle name="Hyperlink" xfId="4820" builtinId="8" hidden="1"/>
    <cellStyle name="Hyperlink" xfId="4822" builtinId="8" hidden="1"/>
    <cellStyle name="Hyperlink" xfId="4824" builtinId="8" hidden="1"/>
    <cellStyle name="Hyperlink" xfId="4826" builtinId="8" hidden="1"/>
    <cellStyle name="Hyperlink" xfId="4828" builtinId="8" hidden="1"/>
    <cellStyle name="Hyperlink" xfId="4830" builtinId="8" hidden="1"/>
    <cellStyle name="Hyperlink" xfId="4832" builtinId="8" hidden="1"/>
    <cellStyle name="Hyperlink" xfId="4834" builtinId="8" hidden="1"/>
    <cellStyle name="Hyperlink" xfId="4836" builtinId="8" hidden="1"/>
    <cellStyle name="Hyperlink" xfId="4838" builtinId="8" hidden="1"/>
    <cellStyle name="Hyperlink" xfId="4840" builtinId="8" hidden="1"/>
    <cellStyle name="Hyperlink" xfId="4842" builtinId="8" hidden="1"/>
    <cellStyle name="Hyperlink" xfId="4844" builtinId="8" hidden="1"/>
    <cellStyle name="Hyperlink" xfId="4846" builtinId="8" hidden="1"/>
    <cellStyle name="Hyperlink" xfId="4848" builtinId="8" hidden="1"/>
    <cellStyle name="Hyperlink" xfId="4850" builtinId="8" hidden="1"/>
    <cellStyle name="Hyperlink" xfId="4852" builtinId="8" hidden="1"/>
    <cellStyle name="Hyperlink" xfId="4854" builtinId="8" hidden="1"/>
    <cellStyle name="Hyperlink" xfId="4856" builtinId="8" hidden="1"/>
    <cellStyle name="Hyperlink" xfId="4858" builtinId="8" hidden="1"/>
    <cellStyle name="Hyperlink" xfId="4860" builtinId="8" hidden="1"/>
    <cellStyle name="Hyperlink" xfId="4862" builtinId="8" hidden="1"/>
    <cellStyle name="Hyperlink" xfId="4864" builtinId="8" hidden="1"/>
    <cellStyle name="Hyperlink" xfId="4866" builtinId="8" hidden="1"/>
    <cellStyle name="Hyperlink" xfId="4868" builtinId="8" hidden="1"/>
    <cellStyle name="Hyperlink" xfId="4870" builtinId="8" hidden="1"/>
    <cellStyle name="Hyperlink" xfId="4872" builtinId="8" hidden="1"/>
    <cellStyle name="Hyperlink" xfId="4874" builtinId="8" hidden="1"/>
    <cellStyle name="Hyperlink" xfId="4876" builtinId="8" hidden="1"/>
    <cellStyle name="Hyperlink" xfId="4878" builtinId="8" hidden="1"/>
    <cellStyle name="Hyperlink" xfId="4880" builtinId="8" hidden="1"/>
    <cellStyle name="Hyperlink" xfId="4882" builtinId="8" hidden="1"/>
    <cellStyle name="Hyperlink" xfId="4884" builtinId="8" hidden="1"/>
    <cellStyle name="Hyperlink" xfId="4886" builtinId="8" hidden="1"/>
    <cellStyle name="Hyperlink" xfId="4888" builtinId="8" hidden="1"/>
    <cellStyle name="Hyperlink" xfId="4890" builtinId="8" hidden="1"/>
    <cellStyle name="Hyperlink" xfId="4892" builtinId="8" hidden="1"/>
    <cellStyle name="Hyperlink" xfId="4894" builtinId="8" hidden="1"/>
    <cellStyle name="Hyperlink" xfId="4896" builtinId="8" hidden="1"/>
    <cellStyle name="Hyperlink" xfId="4898" builtinId="8" hidden="1"/>
    <cellStyle name="Hyperlink" xfId="4900" builtinId="8" hidden="1"/>
    <cellStyle name="Hyperlink" xfId="4902" builtinId="8" hidden="1"/>
    <cellStyle name="Hyperlink" xfId="4904" builtinId="8" hidden="1"/>
    <cellStyle name="Hyperlink" xfId="4906" builtinId="8" hidden="1"/>
    <cellStyle name="Hyperlink" xfId="4908" builtinId="8" hidden="1"/>
    <cellStyle name="Hyperlink" xfId="4910" builtinId="8" hidden="1"/>
    <cellStyle name="Hyperlink" xfId="4912" builtinId="8" hidden="1"/>
    <cellStyle name="Hyperlink" xfId="4914" builtinId="8" hidden="1"/>
    <cellStyle name="Hyperlink" xfId="4916" builtinId="8" hidden="1"/>
    <cellStyle name="Hyperlink" xfId="4918" builtinId="8" hidden="1"/>
    <cellStyle name="Hyperlink" xfId="4920" builtinId="8" hidden="1"/>
    <cellStyle name="Hyperlink" xfId="4922" builtinId="8" hidden="1"/>
    <cellStyle name="Hyperlink" xfId="4924" builtinId="8" hidden="1"/>
    <cellStyle name="Hyperlink" xfId="4926" builtinId="8" hidden="1"/>
    <cellStyle name="Hyperlink" xfId="4928" builtinId="8" hidden="1"/>
    <cellStyle name="Hyperlink" xfId="4930" builtinId="8" hidden="1"/>
    <cellStyle name="Hyperlink" xfId="4932" builtinId="8" hidden="1"/>
    <cellStyle name="Hyperlink" xfId="4934" builtinId="8" hidden="1"/>
    <cellStyle name="Hyperlink" xfId="4936" builtinId="8" hidden="1"/>
    <cellStyle name="Hyperlink" xfId="4938" builtinId="8" hidden="1"/>
    <cellStyle name="Hyperlink" xfId="4940" builtinId="8" hidden="1"/>
    <cellStyle name="Hyperlink" xfId="4942" builtinId="8" hidden="1"/>
    <cellStyle name="Hyperlink" xfId="4944" builtinId="8" hidden="1"/>
    <cellStyle name="Hyperlink" xfId="4946" builtinId="8" hidden="1"/>
    <cellStyle name="Hyperlink" xfId="4948" builtinId="8" hidden="1"/>
    <cellStyle name="Hyperlink" xfId="4950" builtinId="8" hidden="1"/>
    <cellStyle name="Hyperlink" xfId="4952" builtinId="8" hidden="1"/>
    <cellStyle name="Hyperlink" xfId="4954" builtinId="8" hidden="1"/>
    <cellStyle name="Hyperlink" xfId="4956" builtinId="8" hidden="1"/>
    <cellStyle name="Hyperlink" xfId="4958" builtinId="8" hidden="1"/>
    <cellStyle name="Hyperlink" xfId="4960" builtinId="8" hidden="1"/>
    <cellStyle name="Hyperlink" xfId="4962" builtinId="8" hidden="1"/>
    <cellStyle name="Hyperlink" xfId="4964" builtinId="8" hidden="1"/>
    <cellStyle name="Hyperlink" xfId="4966" builtinId="8" hidden="1"/>
    <cellStyle name="Hyperlink" xfId="4968" builtinId="8" hidden="1"/>
    <cellStyle name="Hyperlink" xfId="4970" builtinId="8" hidden="1"/>
    <cellStyle name="Hyperlink" xfId="4972" builtinId="8" hidden="1"/>
    <cellStyle name="Hyperlink" xfId="4974" builtinId="8" hidden="1"/>
    <cellStyle name="Hyperlink" xfId="4976" builtinId="8" hidden="1"/>
    <cellStyle name="Hyperlink" xfId="4978" builtinId="8" hidden="1"/>
    <cellStyle name="Hyperlink" xfId="4980" builtinId="8" hidden="1"/>
    <cellStyle name="Hyperlink" xfId="4982" builtinId="8" hidden="1"/>
    <cellStyle name="Hyperlink" xfId="4984" builtinId="8" hidden="1"/>
    <cellStyle name="Hyperlink" xfId="4986" builtinId="8" hidden="1"/>
    <cellStyle name="Hyperlink" xfId="4988" builtinId="8" hidden="1"/>
    <cellStyle name="Hyperlink" xfId="4990" builtinId="8" hidden="1"/>
    <cellStyle name="Hyperlink" xfId="4992" builtinId="8" hidden="1"/>
    <cellStyle name="Hyperlink" xfId="4994" builtinId="8" hidden="1"/>
    <cellStyle name="Hyperlink" xfId="4996" builtinId="8" hidden="1"/>
    <cellStyle name="Hyperlink" xfId="4998" builtinId="8" hidden="1"/>
    <cellStyle name="Hyperlink" xfId="5000" builtinId="8" hidden="1"/>
    <cellStyle name="Hyperlink" xfId="5002" builtinId="8" hidden="1"/>
    <cellStyle name="Hyperlink" xfId="5004" builtinId="8" hidden="1"/>
    <cellStyle name="Hyperlink" xfId="5006" builtinId="8" hidden="1"/>
    <cellStyle name="Hyperlink" xfId="5008" builtinId="8" hidden="1"/>
    <cellStyle name="Hyperlink" xfId="5010" builtinId="8" hidden="1"/>
    <cellStyle name="Hyperlink" xfId="5012" builtinId="8" hidden="1"/>
    <cellStyle name="Hyperlink" xfId="5014" builtinId="8" hidden="1"/>
    <cellStyle name="Hyperlink" xfId="5016" builtinId="8" hidden="1"/>
    <cellStyle name="Hyperlink" xfId="5018" builtinId="8" hidden="1"/>
    <cellStyle name="Hyperlink" xfId="5020" builtinId="8" hidden="1"/>
    <cellStyle name="Hyperlink" xfId="5022" builtinId="8" hidden="1"/>
    <cellStyle name="Hyperlink" xfId="5024" builtinId="8" hidden="1"/>
    <cellStyle name="Hyperlink" xfId="5026" builtinId="8" hidden="1"/>
    <cellStyle name="Hyperlink" xfId="5028" builtinId="8" hidden="1"/>
    <cellStyle name="Hyperlink" xfId="5030" builtinId="8" hidden="1"/>
    <cellStyle name="Hyperlink" xfId="5032" builtinId="8" hidden="1"/>
    <cellStyle name="Hyperlink" xfId="5034" builtinId="8" hidden="1"/>
    <cellStyle name="Hyperlink" xfId="5036" builtinId="8" hidden="1"/>
    <cellStyle name="Hyperlink" xfId="5038" builtinId="8" hidden="1"/>
    <cellStyle name="Hyperlink" xfId="5040" builtinId="8" hidden="1"/>
    <cellStyle name="Hyperlink" xfId="5042" builtinId="8" hidden="1"/>
    <cellStyle name="Hyperlink" xfId="5044" builtinId="8" hidden="1"/>
    <cellStyle name="Hyperlink" xfId="5046" builtinId="8" hidden="1"/>
    <cellStyle name="Hyperlink" xfId="5048" builtinId="8" hidden="1"/>
    <cellStyle name="Hyperlink" xfId="5050" builtinId="8" hidden="1"/>
    <cellStyle name="Hyperlink" xfId="5052" builtinId="8" hidden="1"/>
    <cellStyle name="Hyperlink" xfId="5054" builtinId="8" hidden="1"/>
    <cellStyle name="Hyperlink" xfId="5056" builtinId="8" hidden="1"/>
    <cellStyle name="Hyperlink" xfId="5058" builtinId="8" hidden="1"/>
    <cellStyle name="Hyperlink" xfId="5060" builtinId="8" hidden="1"/>
    <cellStyle name="Hyperlink" xfId="5062" builtinId="8" hidden="1"/>
    <cellStyle name="Hyperlink" xfId="5064" builtinId="8" hidden="1"/>
    <cellStyle name="Hyperlink" xfId="5066" builtinId="8" hidden="1"/>
    <cellStyle name="Hyperlink" xfId="5068" builtinId="8" hidden="1"/>
    <cellStyle name="Hyperlink" xfId="5070" builtinId="8" hidden="1"/>
    <cellStyle name="Hyperlink" xfId="5072" builtinId="8" hidden="1"/>
    <cellStyle name="Hyperlink" xfId="5074" builtinId="8" hidden="1"/>
    <cellStyle name="Hyperlink" xfId="5076" builtinId="8" hidden="1"/>
    <cellStyle name="Hyperlink" xfId="5078" builtinId="8" hidden="1"/>
    <cellStyle name="Hyperlink" xfId="5080" builtinId="8" hidden="1"/>
    <cellStyle name="Hyperlink" xfId="5082" builtinId="8" hidden="1"/>
    <cellStyle name="Hyperlink" xfId="5084" builtinId="8" hidden="1"/>
    <cellStyle name="Hyperlink" xfId="5086" builtinId="8" hidden="1"/>
    <cellStyle name="Hyperlink" xfId="5088" builtinId="8" hidden="1"/>
    <cellStyle name="Hyperlink" xfId="5090" builtinId="8" hidden="1"/>
    <cellStyle name="Hyperlink" xfId="5092" builtinId="8" hidden="1"/>
    <cellStyle name="Hyperlink" xfId="5094" builtinId="8" hidden="1"/>
    <cellStyle name="Hyperlink" xfId="5096" builtinId="8" hidden="1"/>
    <cellStyle name="Hyperlink" xfId="5098" builtinId="8" hidden="1"/>
    <cellStyle name="Hyperlink" xfId="5100" builtinId="8" hidden="1"/>
    <cellStyle name="Hyperlink" xfId="5102" builtinId="8" hidden="1"/>
    <cellStyle name="Hyperlink" xfId="5104" builtinId="8" hidden="1"/>
    <cellStyle name="Hyperlink" xfId="5106" builtinId="8" hidden="1"/>
    <cellStyle name="Hyperlink" xfId="5108" builtinId="8" hidden="1"/>
    <cellStyle name="Hyperlink" xfId="5110" builtinId="8" hidden="1"/>
    <cellStyle name="Hyperlink" xfId="5112" builtinId="8" hidden="1"/>
    <cellStyle name="Hyperlink" xfId="5114" builtinId="8" hidden="1"/>
    <cellStyle name="Hyperlink" xfId="5116" builtinId="8" hidden="1"/>
    <cellStyle name="Hyperlink" xfId="5118" builtinId="8" hidden="1"/>
    <cellStyle name="Hyperlink" xfId="5120" builtinId="8" hidden="1"/>
    <cellStyle name="Hyperlink" xfId="5122" builtinId="8" hidden="1"/>
    <cellStyle name="Hyperlink" xfId="5124" builtinId="8" hidden="1"/>
    <cellStyle name="Hyperlink" xfId="5126" builtinId="8" hidden="1"/>
    <cellStyle name="Hyperlink" xfId="5128" builtinId="8" hidden="1"/>
    <cellStyle name="Hyperlink" xfId="5130" builtinId="8" hidden="1"/>
    <cellStyle name="Hyperlink" xfId="5132" builtinId="8" hidden="1"/>
    <cellStyle name="Hyperlink" xfId="5134" builtinId="8" hidden="1"/>
    <cellStyle name="Hyperlink" xfId="5136" builtinId="8" hidden="1"/>
    <cellStyle name="Hyperlink" xfId="5138" builtinId="8" hidden="1"/>
    <cellStyle name="Hyperlink" xfId="5140" builtinId="8" hidden="1"/>
    <cellStyle name="Hyperlink" xfId="5142" builtinId="8" hidden="1"/>
    <cellStyle name="Hyperlink" xfId="5144" builtinId="8" hidden="1"/>
    <cellStyle name="Hyperlink" xfId="5146" builtinId="8" hidden="1"/>
    <cellStyle name="Hyperlink" xfId="5148" builtinId="8" hidden="1"/>
    <cellStyle name="Hyperlink" xfId="5150" builtinId="8" hidden="1"/>
    <cellStyle name="Hyperlink" xfId="5152" builtinId="8" hidden="1"/>
    <cellStyle name="Hyperlink" xfId="5154" builtinId="8" hidden="1"/>
    <cellStyle name="Hyperlink" xfId="5156" builtinId="8" hidden="1"/>
    <cellStyle name="Hyperlink" xfId="5158" builtinId="8" hidden="1"/>
    <cellStyle name="Hyperlink" xfId="5160" builtinId="8" hidden="1"/>
    <cellStyle name="Hyperlink" xfId="5162" builtinId="8" hidden="1"/>
    <cellStyle name="Hyperlink" xfId="5164" builtinId="8" hidden="1"/>
    <cellStyle name="Hyperlink" xfId="5166" builtinId="8" hidden="1"/>
    <cellStyle name="Hyperlink" xfId="5168" builtinId="8" hidden="1"/>
    <cellStyle name="Hyperlink" xfId="5170" builtinId="8" hidden="1"/>
    <cellStyle name="Hyperlink" xfId="5172" builtinId="8" hidden="1"/>
    <cellStyle name="Hyperlink" xfId="5174" builtinId="8" hidden="1"/>
    <cellStyle name="Hyperlink" xfId="5176" builtinId="8" hidden="1"/>
    <cellStyle name="Hyperlink" xfId="5178" builtinId="8" hidden="1"/>
    <cellStyle name="Hyperlink" xfId="5180" builtinId="8" hidden="1"/>
    <cellStyle name="Hyperlink" xfId="5182" builtinId="8" hidden="1"/>
    <cellStyle name="Hyperlink" xfId="5184" builtinId="8" hidden="1"/>
    <cellStyle name="Hyperlink" xfId="5186" builtinId="8" hidden="1"/>
    <cellStyle name="Hyperlink" xfId="5188" builtinId="8" hidden="1"/>
    <cellStyle name="Hyperlink" xfId="5190" builtinId="8" hidden="1"/>
    <cellStyle name="Hyperlink" xfId="5192" builtinId="8" hidden="1"/>
    <cellStyle name="Hyperlink" xfId="5194" builtinId="8" hidden="1"/>
    <cellStyle name="Hyperlink" xfId="5196" builtinId="8" hidden="1"/>
    <cellStyle name="Hyperlink" xfId="5198" builtinId="8" hidden="1"/>
    <cellStyle name="Hyperlink" xfId="5200" builtinId="8" hidden="1"/>
    <cellStyle name="Hyperlink" xfId="5202" builtinId="8" hidden="1"/>
    <cellStyle name="Hyperlink" xfId="5204" builtinId="8" hidden="1"/>
    <cellStyle name="Hyperlink" xfId="5206" builtinId="8" hidden="1"/>
    <cellStyle name="Hyperlink" xfId="5208" builtinId="8" hidden="1"/>
    <cellStyle name="Hyperlink" xfId="5210" builtinId="8" hidden="1"/>
    <cellStyle name="Hyperlink" xfId="5212" builtinId="8" hidden="1"/>
    <cellStyle name="Hyperlink" xfId="5214" builtinId="8" hidden="1"/>
    <cellStyle name="Hyperlink" xfId="5216" builtinId="8" hidden="1"/>
    <cellStyle name="Hyperlink" xfId="5218" builtinId="8" hidden="1"/>
    <cellStyle name="Hyperlink" xfId="5220" builtinId="8" hidden="1"/>
    <cellStyle name="Hyperlink" xfId="5222" builtinId="8" hidden="1"/>
    <cellStyle name="Hyperlink" xfId="5224" builtinId="8" hidden="1"/>
    <cellStyle name="Hyperlink" xfId="5226" builtinId="8" hidden="1"/>
    <cellStyle name="Hyperlink" xfId="5228" builtinId="8" hidden="1"/>
    <cellStyle name="Hyperlink" xfId="5230" builtinId="8" hidden="1"/>
    <cellStyle name="Hyperlink" xfId="5232" builtinId="8" hidden="1"/>
    <cellStyle name="Hyperlink" xfId="5234" builtinId="8" hidden="1"/>
    <cellStyle name="Hyperlink" xfId="5236" builtinId="8" hidden="1"/>
    <cellStyle name="Hyperlink" xfId="5238" builtinId="8" hidden="1"/>
    <cellStyle name="Hyperlink" xfId="5240" builtinId="8" hidden="1"/>
    <cellStyle name="Hyperlink" xfId="5242" builtinId="8" hidden="1"/>
    <cellStyle name="Hyperlink" xfId="5244" builtinId="8" hidden="1"/>
    <cellStyle name="Hyperlink" xfId="5246" builtinId="8" hidden="1"/>
    <cellStyle name="Hyperlink" xfId="5248" builtinId="8" hidden="1"/>
    <cellStyle name="Hyperlink" xfId="5250" builtinId="8" hidden="1"/>
    <cellStyle name="Hyperlink" xfId="5252" builtinId="8" hidden="1"/>
    <cellStyle name="Hyperlink" xfId="5254" builtinId="8" hidden="1"/>
    <cellStyle name="Hyperlink" xfId="5256" builtinId="8" hidden="1"/>
    <cellStyle name="Hyperlink" xfId="5258" builtinId="8" hidden="1"/>
    <cellStyle name="Hyperlink" xfId="5260" builtinId="8" hidden="1"/>
    <cellStyle name="Hyperlink" xfId="5262" builtinId="8" hidden="1"/>
    <cellStyle name="Hyperlink" xfId="5264" builtinId="8" hidden="1"/>
    <cellStyle name="Hyperlink" xfId="5266" builtinId="8" hidden="1"/>
    <cellStyle name="Hyperlink" xfId="5268" builtinId="8" hidden="1"/>
    <cellStyle name="Hyperlink" xfId="5270" builtinId="8" hidden="1"/>
    <cellStyle name="Hyperlink" xfId="5272" builtinId="8" hidden="1"/>
    <cellStyle name="Hyperlink" xfId="5274" builtinId="8" hidden="1"/>
    <cellStyle name="Hyperlink" xfId="5276" builtinId="8" hidden="1"/>
    <cellStyle name="Hyperlink" xfId="5278" builtinId="8" hidden="1"/>
    <cellStyle name="Hyperlink" xfId="5280" builtinId="8" hidden="1"/>
    <cellStyle name="Hyperlink" xfId="5282" builtinId="8" hidden="1"/>
    <cellStyle name="Hyperlink" xfId="5284" builtinId="8" hidden="1"/>
    <cellStyle name="Hyperlink" xfId="5286" builtinId="8" hidden="1"/>
    <cellStyle name="Hyperlink" xfId="5288" builtinId="8" hidden="1"/>
    <cellStyle name="Hyperlink" xfId="5290" builtinId="8" hidden="1"/>
    <cellStyle name="Hyperlink" xfId="5292" builtinId="8" hidden="1"/>
    <cellStyle name="Hyperlink" xfId="5294" builtinId="8" hidden="1"/>
    <cellStyle name="Hyperlink" xfId="5296" builtinId="8" hidden="1"/>
    <cellStyle name="Hyperlink" xfId="5298" builtinId="8" hidden="1"/>
    <cellStyle name="Hyperlink" xfId="5300" builtinId="8" hidden="1"/>
    <cellStyle name="Hyperlink" xfId="5302" builtinId="8" hidden="1"/>
    <cellStyle name="Hyperlink" xfId="5304" builtinId="8" hidden="1"/>
    <cellStyle name="Hyperlink" xfId="5306" builtinId="8" hidden="1"/>
    <cellStyle name="Hyperlink" xfId="5308" builtinId="8" hidden="1"/>
    <cellStyle name="Hyperlink" xfId="5310" builtinId="8" hidden="1"/>
    <cellStyle name="Hyperlink" xfId="5312" builtinId="8" hidden="1"/>
    <cellStyle name="Hyperlink" xfId="5314" builtinId="8" hidden="1"/>
    <cellStyle name="Hyperlink" xfId="5316" builtinId="8" hidden="1"/>
    <cellStyle name="Hyperlink" xfId="5318" builtinId="8" hidden="1"/>
    <cellStyle name="Hyperlink" xfId="5320" builtinId="8" hidden="1"/>
    <cellStyle name="Hyperlink" xfId="5322" builtinId="8" hidden="1"/>
    <cellStyle name="Hyperlink" xfId="5324" builtinId="8" hidden="1"/>
    <cellStyle name="Hyperlink" xfId="5326" builtinId="8" hidden="1"/>
    <cellStyle name="Hyperlink" xfId="5328" builtinId="8" hidden="1"/>
    <cellStyle name="Hyperlink" xfId="5330" builtinId="8" hidden="1"/>
    <cellStyle name="Hyperlink" xfId="5332" builtinId="8" hidden="1"/>
    <cellStyle name="Hyperlink" xfId="5334" builtinId="8" hidden="1"/>
    <cellStyle name="Hyperlink" xfId="5336" builtinId="8" hidden="1"/>
    <cellStyle name="Hyperlink" xfId="5338" builtinId="8" hidden="1"/>
    <cellStyle name="Hyperlink" xfId="5340" builtinId="8" hidden="1"/>
    <cellStyle name="Hyperlink" xfId="5342" builtinId="8" hidden="1"/>
    <cellStyle name="Hyperlink" xfId="5344" builtinId="8" hidden="1"/>
    <cellStyle name="Hyperlink" xfId="5346" builtinId="8" hidden="1"/>
    <cellStyle name="Hyperlink" xfId="5348" builtinId="8" hidden="1"/>
    <cellStyle name="Hyperlink" xfId="5350" builtinId="8" hidden="1"/>
    <cellStyle name="Hyperlink" xfId="5352" builtinId="8" hidden="1"/>
    <cellStyle name="Hyperlink" xfId="5354" builtinId="8" hidden="1"/>
    <cellStyle name="Hyperlink" xfId="5356" builtinId="8" hidden="1"/>
    <cellStyle name="Hyperlink" xfId="5358" builtinId="8" hidden="1"/>
    <cellStyle name="Hyperlink" xfId="5360" builtinId="8" hidden="1"/>
    <cellStyle name="Hyperlink" xfId="5362" builtinId="8" hidden="1"/>
    <cellStyle name="Hyperlink" xfId="5364" builtinId="8" hidden="1"/>
    <cellStyle name="Hyperlink" xfId="5366" builtinId="8" hidden="1"/>
    <cellStyle name="Hyperlink" xfId="5368" builtinId="8" hidden="1"/>
    <cellStyle name="Hyperlink" xfId="5370" builtinId="8" hidden="1"/>
    <cellStyle name="Hyperlink" xfId="5372" builtinId="8" hidden="1"/>
    <cellStyle name="Hyperlink" xfId="5374" builtinId="8" hidden="1"/>
    <cellStyle name="Hyperlink" xfId="5376" builtinId="8" hidden="1"/>
    <cellStyle name="Hyperlink" xfId="5378" builtinId="8" hidden="1"/>
    <cellStyle name="Hyperlink" xfId="5380" builtinId="8" hidden="1"/>
    <cellStyle name="Hyperlink" xfId="5382" builtinId="8" hidden="1"/>
    <cellStyle name="Hyperlink" xfId="5384" builtinId="8" hidden="1"/>
    <cellStyle name="Hyperlink" xfId="5386" builtinId="8" hidden="1"/>
    <cellStyle name="Hyperlink" xfId="5388" builtinId="8" hidden="1"/>
    <cellStyle name="Hyperlink" xfId="5390" builtinId="8" hidden="1"/>
    <cellStyle name="Hyperlink" xfId="5392" builtinId="8" hidden="1"/>
    <cellStyle name="Hyperlink" xfId="5394" builtinId="8" hidden="1"/>
    <cellStyle name="Hyperlink" xfId="5396" builtinId="8" hidden="1"/>
    <cellStyle name="Hyperlink" xfId="5398" builtinId="8" hidden="1"/>
    <cellStyle name="Hyperlink" xfId="5400" builtinId="8" hidden="1"/>
    <cellStyle name="Hyperlink" xfId="5402" builtinId="8" hidden="1"/>
    <cellStyle name="Hyperlink" xfId="5404" builtinId="8" hidden="1"/>
    <cellStyle name="Hyperlink" xfId="5406" builtinId="8" hidden="1"/>
    <cellStyle name="Hyperlink" xfId="5408" builtinId="8" hidden="1"/>
    <cellStyle name="Hyperlink" xfId="5410" builtinId="8" hidden="1"/>
    <cellStyle name="Hyperlink" xfId="5412" builtinId="8" hidden="1"/>
    <cellStyle name="Hyperlink" xfId="5414" builtinId="8" hidden="1"/>
    <cellStyle name="Hyperlink" xfId="5416" builtinId="8" hidden="1"/>
    <cellStyle name="Hyperlink" xfId="5418" builtinId="8" hidden="1"/>
    <cellStyle name="Hyperlink" xfId="5420" builtinId="8" hidden="1"/>
    <cellStyle name="Hyperlink" xfId="5422" builtinId="8" hidden="1"/>
    <cellStyle name="Hyperlink" xfId="5424" builtinId="8" hidden="1"/>
    <cellStyle name="Hyperlink" xfId="5426" builtinId="8" hidden="1"/>
    <cellStyle name="Hyperlink" xfId="5428" builtinId="8" hidden="1"/>
    <cellStyle name="Hyperlink" xfId="5430" builtinId="8" hidden="1"/>
    <cellStyle name="Hyperlink" xfId="5432" builtinId="8" hidden="1"/>
    <cellStyle name="Hyperlink" xfId="5434" builtinId="8" hidden="1"/>
    <cellStyle name="Hyperlink" xfId="5436" builtinId="8" hidden="1"/>
    <cellStyle name="Hyperlink" xfId="5438" builtinId="8" hidden="1"/>
    <cellStyle name="Hyperlink" xfId="5440" builtinId="8" hidden="1"/>
    <cellStyle name="Hyperlink" xfId="5442" builtinId="8" hidden="1"/>
    <cellStyle name="Hyperlink" xfId="5444" builtinId="8" hidden="1"/>
    <cellStyle name="Hyperlink" xfId="5446" builtinId="8" hidden="1"/>
    <cellStyle name="Hyperlink" xfId="5448" builtinId="8" hidden="1"/>
    <cellStyle name="Hyperlink" xfId="5450" builtinId="8" hidden="1"/>
    <cellStyle name="Hyperlink" xfId="5452" builtinId="8" hidden="1"/>
    <cellStyle name="Hyperlink" xfId="5454" builtinId="8" hidden="1"/>
    <cellStyle name="Hyperlink" xfId="5456" builtinId="8" hidden="1"/>
    <cellStyle name="Hyperlink" xfId="5458" builtinId="8" hidden="1"/>
    <cellStyle name="Hyperlink" xfId="5460" builtinId="8" hidden="1"/>
    <cellStyle name="Hyperlink" xfId="5462" builtinId="8" hidden="1"/>
    <cellStyle name="Hyperlink" xfId="5464" builtinId="8" hidden="1"/>
    <cellStyle name="Hyperlink" xfId="5466" builtinId="8" hidden="1"/>
    <cellStyle name="Hyperlink" xfId="5468" builtinId="8" hidden="1"/>
    <cellStyle name="Hyperlink" xfId="5470" builtinId="8" hidden="1"/>
    <cellStyle name="Hyperlink" xfId="5472" builtinId="8" hidden="1"/>
    <cellStyle name="Hyperlink" xfId="5474" builtinId="8" hidden="1"/>
    <cellStyle name="Hyperlink" xfId="5476" builtinId="8" hidden="1"/>
    <cellStyle name="Hyperlink" xfId="5478" builtinId="8" hidden="1"/>
    <cellStyle name="Hyperlink" xfId="5480" builtinId="8" hidden="1"/>
    <cellStyle name="Hyperlink" xfId="5482" builtinId="8" hidden="1"/>
    <cellStyle name="Hyperlink" xfId="5484" builtinId="8" hidden="1"/>
    <cellStyle name="Hyperlink" xfId="5486" builtinId="8" hidden="1"/>
    <cellStyle name="Hyperlink" xfId="5488" builtinId="8" hidden="1"/>
    <cellStyle name="Hyperlink" xfId="5490" builtinId="8" hidden="1"/>
    <cellStyle name="Hyperlink" xfId="5492" builtinId="8" hidden="1"/>
    <cellStyle name="Hyperlink" xfId="5494" builtinId="8" hidden="1"/>
    <cellStyle name="Hyperlink" xfId="5496" builtinId="8" hidden="1"/>
    <cellStyle name="Hyperlink" xfId="5498" builtinId="8" hidden="1"/>
    <cellStyle name="Hyperlink" xfId="5500" builtinId="8" hidden="1"/>
    <cellStyle name="Hyperlink" xfId="5502" builtinId="8" hidden="1"/>
    <cellStyle name="Hyperlink" xfId="5504" builtinId="8" hidden="1"/>
    <cellStyle name="Hyperlink" xfId="5506" builtinId="8" hidden="1"/>
    <cellStyle name="Hyperlink" xfId="5508" builtinId="8" hidden="1"/>
    <cellStyle name="Hyperlink" xfId="5510" builtinId="8" hidden="1"/>
    <cellStyle name="Hyperlink" xfId="5512" builtinId="8" hidden="1"/>
    <cellStyle name="Hyperlink" xfId="5514" builtinId="8" hidden="1"/>
    <cellStyle name="Hyperlink" xfId="5516" builtinId="8" hidden="1"/>
    <cellStyle name="Hyperlink" xfId="5518" builtinId="8" hidden="1"/>
    <cellStyle name="Hyperlink" xfId="5520" builtinId="8" hidden="1"/>
    <cellStyle name="Hyperlink" xfId="5522" builtinId="8" hidden="1"/>
    <cellStyle name="Hyperlink" xfId="5524" builtinId="8" hidden="1"/>
    <cellStyle name="Hyperlink" xfId="5526" builtinId="8" hidden="1"/>
    <cellStyle name="Hyperlink" xfId="5528" builtinId="8" hidden="1"/>
    <cellStyle name="Hyperlink" xfId="5530" builtinId="8" hidden="1"/>
    <cellStyle name="Hyperlink" xfId="5532" builtinId="8" hidden="1"/>
    <cellStyle name="Hyperlink" xfId="5534" builtinId="8" hidden="1"/>
    <cellStyle name="Hyperlink" xfId="5536" builtinId="8" hidden="1"/>
    <cellStyle name="Hyperlink" xfId="5538" builtinId="8" hidden="1"/>
    <cellStyle name="Hyperlink" xfId="5540" builtinId="8" hidden="1"/>
    <cellStyle name="Hyperlink" xfId="5542" builtinId="8" hidden="1"/>
    <cellStyle name="Hyperlink" xfId="5544" builtinId="8" hidden="1"/>
    <cellStyle name="Hyperlink" xfId="5546" builtinId="8" hidden="1"/>
    <cellStyle name="Hyperlink" xfId="5548" builtinId="8" hidden="1"/>
    <cellStyle name="Hyperlink" xfId="5550" builtinId="8" hidden="1"/>
    <cellStyle name="Hyperlink" xfId="5552" builtinId="8" hidden="1"/>
    <cellStyle name="Hyperlink" xfId="5554" builtinId="8" hidden="1"/>
    <cellStyle name="Hyperlink" xfId="5556" builtinId="8" hidden="1"/>
    <cellStyle name="Hyperlink" xfId="5558" builtinId="8" hidden="1"/>
    <cellStyle name="Hyperlink" xfId="5560" builtinId="8" hidden="1"/>
    <cellStyle name="Hyperlink" xfId="5562" builtinId="8" hidden="1"/>
    <cellStyle name="Hyperlink" xfId="5564" builtinId="8" hidden="1"/>
    <cellStyle name="Hyperlink" xfId="5566" builtinId="8" hidden="1"/>
    <cellStyle name="Hyperlink" xfId="5568" builtinId="8" hidden="1"/>
    <cellStyle name="Hyperlink" xfId="5570" builtinId="8" hidden="1"/>
    <cellStyle name="Hyperlink" xfId="5572" builtinId="8" hidden="1"/>
    <cellStyle name="Hyperlink" xfId="5574" builtinId="8" hidden="1"/>
    <cellStyle name="Hyperlink" xfId="5576" builtinId="8" hidden="1"/>
    <cellStyle name="Hyperlink" xfId="5578" builtinId="8" hidden="1"/>
    <cellStyle name="Hyperlink" xfId="5580" builtinId="8" hidden="1"/>
    <cellStyle name="Hyperlink" xfId="5582" builtinId="8" hidden="1"/>
    <cellStyle name="Hyperlink" xfId="5584" builtinId="8" hidden="1"/>
    <cellStyle name="Hyperlink" xfId="5586" builtinId="8" hidden="1"/>
    <cellStyle name="Hyperlink" xfId="5588" builtinId="8" hidden="1"/>
    <cellStyle name="Hyperlink" xfId="5590" builtinId="8" hidden="1"/>
    <cellStyle name="Hyperlink" xfId="5592" builtinId="8" hidden="1"/>
    <cellStyle name="Hyperlink" xfId="5594" builtinId="8" hidden="1"/>
    <cellStyle name="Hyperlink" xfId="5596" builtinId="8" hidden="1"/>
    <cellStyle name="Hyperlink" xfId="5598" builtinId="8" hidden="1"/>
    <cellStyle name="Hyperlink" xfId="5600" builtinId="8" hidden="1"/>
    <cellStyle name="Hyperlink" xfId="5602" builtinId="8" hidden="1"/>
    <cellStyle name="Hyperlink" xfId="5604" builtinId="8" hidden="1"/>
    <cellStyle name="Hyperlink" xfId="5606" builtinId="8" hidden="1"/>
    <cellStyle name="Hyperlink" xfId="5608" builtinId="8" hidden="1"/>
    <cellStyle name="Hyperlink" xfId="5610" builtinId="8" hidden="1"/>
    <cellStyle name="Hyperlink" xfId="5612" builtinId="8" hidden="1"/>
    <cellStyle name="Hyperlink" xfId="5614" builtinId="8" hidden="1"/>
    <cellStyle name="Hyperlink" xfId="5616" builtinId="8" hidden="1"/>
    <cellStyle name="Hyperlink" xfId="5618" builtinId="8" hidden="1"/>
    <cellStyle name="Hyperlink" xfId="5620" builtinId="8" hidden="1"/>
    <cellStyle name="Hyperlink" xfId="5622" builtinId="8" hidden="1"/>
    <cellStyle name="Hyperlink" xfId="5624" builtinId="8" hidden="1"/>
    <cellStyle name="Hyperlink" xfId="5626" builtinId="8" hidden="1"/>
    <cellStyle name="Hyperlink" xfId="5628" builtinId="8" hidden="1"/>
    <cellStyle name="Hyperlink" xfId="5630" builtinId="8" hidden="1"/>
    <cellStyle name="Hyperlink" xfId="5632" builtinId="8" hidden="1"/>
    <cellStyle name="Hyperlink" xfId="5634" builtinId="8" hidden="1"/>
    <cellStyle name="Hyperlink" xfId="5636" builtinId="8" hidden="1"/>
    <cellStyle name="Hyperlink" xfId="5638" builtinId="8" hidden="1"/>
    <cellStyle name="Hyperlink" xfId="5640" builtinId="8" hidden="1"/>
    <cellStyle name="Hyperlink" xfId="5642" builtinId="8" hidden="1"/>
    <cellStyle name="Hyperlink" xfId="5644" builtinId="8" hidden="1"/>
    <cellStyle name="Hyperlink" xfId="5646" builtinId="8" hidden="1"/>
    <cellStyle name="Hyperlink" xfId="5648" builtinId="8" hidden="1"/>
    <cellStyle name="Hyperlink" xfId="5650" builtinId="8" hidden="1"/>
    <cellStyle name="Hyperlink" xfId="5652" builtinId="8" hidden="1"/>
    <cellStyle name="Hyperlink" xfId="5654" builtinId="8" hidden="1"/>
    <cellStyle name="Hyperlink" xfId="5656" builtinId="8" hidden="1"/>
    <cellStyle name="Hyperlink" xfId="5658" builtinId="8" hidden="1"/>
    <cellStyle name="Hyperlink" xfId="5660" builtinId="8" hidden="1"/>
    <cellStyle name="Hyperlink" xfId="5662" builtinId="8" hidden="1"/>
    <cellStyle name="Hyperlink" xfId="5664" builtinId="8" hidden="1"/>
    <cellStyle name="Hyperlink" xfId="5666" builtinId="8" hidden="1"/>
    <cellStyle name="Hyperlink" xfId="5668" builtinId="8" hidden="1"/>
    <cellStyle name="Hyperlink" xfId="5670" builtinId="8" hidden="1"/>
    <cellStyle name="Hyperlink" xfId="5672" builtinId="8" hidden="1"/>
    <cellStyle name="Hyperlink" xfId="5674" builtinId="8" hidden="1"/>
    <cellStyle name="Hyperlink" xfId="5676" builtinId="8" hidden="1"/>
    <cellStyle name="Hyperlink" xfId="5678" builtinId="8" hidden="1"/>
    <cellStyle name="Hyperlink" xfId="5680" builtinId="8" hidden="1"/>
    <cellStyle name="Hyperlink" xfId="5682" builtinId="8" hidden="1"/>
    <cellStyle name="Hyperlink" xfId="5684" builtinId="8" hidden="1"/>
    <cellStyle name="Hyperlink" xfId="5686" builtinId="8" hidden="1"/>
    <cellStyle name="Hyperlink" xfId="5688" builtinId="8" hidden="1"/>
    <cellStyle name="Hyperlink" xfId="5690" builtinId="8" hidden="1"/>
    <cellStyle name="Hyperlink" xfId="5692" builtinId="8" hidden="1"/>
    <cellStyle name="Hyperlink" xfId="5694" builtinId="8" hidden="1"/>
    <cellStyle name="Hyperlink" xfId="5696" builtinId="8" hidden="1"/>
    <cellStyle name="Hyperlink" xfId="5698" builtinId="8" hidden="1"/>
    <cellStyle name="Hyperlink" xfId="5700" builtinId="8" hidden="1"/>
    <cellStyle name="Hyperlink" xfId="5702" builtinId="8" hidden="1"/>
    <cellStyle name="Hyperlink" xfId="5704" builtinId="8" hidden="1"/>
    <cellStyle name="Hyperlink" xfId="5706" builtinId="8" hidden="1"/>
    <cellStyle name="Hyperlink" xfId="5708" builtinId="8" hidden="1"/>
    <cellStyle name="Hyperlink" xfId="5710" builtinId="8" hidden="1"/>
    <cellStyle name="Hyperlink" xfId="5712" builtinId="8" hidden="1"/>
    <cellStyle name="Hyperlink" xfId="5714" builtinId="8" hidden="1"/>
    <cellStyle name="Hyperlink" xfId="5716" builtinId="8" hidden="1"/>
    <cellStyle name="Hyperlink" xfId="5718" builtinId="8" hidden="1"/>
    <cellStyle name="Hyperlink" xfId="5720" builtinId="8" hidden="1"/>
    <cellStyle name="Hyperlink" xfId="5722" builtinId="8" hidden="1"/>
    <cellStyle name="Hyperlink" xfId="5724" builtinId="8" hidden="1"/>
    <cellStyle name="Hyperlink" xfId="5726" builtinId="8" hidden="1"/>
    <cellStyle name="Hyperlink" xfId="5728" builtinId="8" hidden="1"/>
    <cellStyle name="Hyperlink" xfId="5730" builtinId="8" hidden="1"/>
    <cellStyle name="Hyperlink" xfId="5732" builtinId="8" hidden="1"/>
    <cellStyle name="Hyperlink" xfId="5734" builtinId="8" hidden="1"/>
    <cellStyle name="Hyperlink" xfId="5736" builtinId="8" hidden="1"/>
    <cellStyle name="Hyperlink" xfId="5738" builtinId="8" hidden="1"/>
    <cellStyle name="Hyperlink" xfId="5740" builtinId="8" hidden="1"/>
    <cellStyle name="Hyperlink" xfId="5742" builtinId="8" hidden="1"/>
    <cellStyle name="Hyperlink" xfId="5744" builtinId="8" hidden="1"/>
    <cellStyle name="Hyperlink" xfId="5746" builtinId="8" hidden="1"/>
    <cellStyle name="Hyperlink" xfId="5748" builtinId="8" hidden="1"/>
    <cellStyle name="Hyperlink" xfId="5750" builtinId="8" hidden="1"/>
    <cellStyle name="Hyperlink" xfId="5752" builtinId="8" hidden="1"/>
    <cellStyle name="Hyperlink" xfId="5754" builtinId="8" hidden="1"/>
    <cellStyle name="Hyperlink" xfId="5756" builtinId="8" hidden="1"/>
    <cellStyle name="Hyperlink" xfId="5758" builtinId="8" hidden="1"/>
    <cellStyle name="Hyperlink" xfId="5760" builtinId="8" hidden="1"/>
    <cellStyle name="Hyperlink" xfId="5762" builtinId="8" hidden="1"/>
    <cellStyle name="Hyperlink" xfId="5764" builtinId="8" hidden="1"/>
    <cellStyle name="Hyperlink" xfId="5766" builtinId="8" hidden="1"/>
    <cellStyle name="Hyperlink" xfId="5768" builtinId="8" hidden="1"/>
    <cellStyle name="Hyperlink" xfId="5770" builtinId="8" hidden="1"/>
    <cellStyle name="Hyperlink" xfId="5772" builtinId="8" hidden="1"/>
    <cellStyle name="Hyperlink" xfId="5774" builtinId="8" hidden="1"/>
    <cellStyle name="Hyperlink" xfId="5776" builtinId="8" hidden="1"/>
    <cellStyle name="Hyperlink" xfId="5778" builtinId="8" hidden="1"/>
    <cellStyle name="Hyperlink" xfId="5780" builtinId="8" hidden="1"/>
    <cellStyle name="Hyperlink" xfId="5782" builtinId="8" hidden="1"/>
    <cellStyle name="Hyperlink" xfId="5784" builtinId="8" hidden="1"/>
    <cellStyle name="Hyperlink" xfId="5786" builtinId="8" hidden="1"/>
    <cellStyle name="Hyperlink" xfId="5788" builtinId="8" hidden="1"/>
    <cellStyle name="Hyperlink" xfId="5790" builtinId="8" hidden="1"/>
    <cellStyle name="Hyperlink" xfId="5792" builtinId="8" hidden="1"/>
    <cellStyle name="Hyperlink" xfId="5794" builtinId="8" hidden="1"/>
    <cellStyle name="Hyperlink" xfId="5796" builtinId="8" hidden="1"/>
    <cellStyle name="Hyperlink" xfId="5798" builtinId="8" hidden="1"/>
    <cellStyle name="Hyperlink" xfId="5800" builtinId="8" hidden="1"/>
    <cellStyle name="Hyperlink" xfId="5802" builtinId="8" hidden="1"/>
    <cellStyle name="Hyperlink" xfId="5804" builtinId="8" hidden="1"/>
    <cellStyle name="Hyperlink" xfId="5806" builtinId="8" hidden="1"/>
    <cellStyle name="Hyperlink" xfId="5808" builtinId="8" hidden="1"/>
    <cellStyle name="Hyperlink" xfId="5810" builtinId="8" hidden="1"/>
    <cellStyle name="Hyperlink" xfId="5812" builtinId="8" hidden="1"/>
    <cellStyle name="Hyperlink" xfId="5814" builtinId="8" hidden="1"/>
    <cellStyle name="Hyperlink" xfId="5816" builtinId="8" hidden="1"/>
    <cellStyle name="Hyperlink" xfId="5818" builtinId="8" hidden="1"/>
    <cellStyle name="Hyperlink" xfId="5820" builtinId="8" hidden="1"/>
    <cellStyle name="Hyperlink" xfId="5822" builtinId="8" hidden="1"/>
    <cellStyle name="Hyperlink" xfId="5824" builtinId="8" hidden="1"/>
    <cellStyle name="Hyperlink" xfId="5826" builtinId="8" hidden="1"/>
    <cellStyle name="Hyperlink" xfId="5828" builtinId="8" hidden="1"/>
    <cellStyle name="Hyperlink" xfId="5830" builtinId="8" hidden="1"/>
    <cellStyle name="Hyperlink" xfId="5832" builtinId="8" hidden="1"/>
    <cellStyle name="Hyperlink" xfId="5834" builtinId="8" hidden="1"/>
    <cellStyle name="Hyperlink" xfId="5836" builtinId="8" hidden="1"/>
    <cellStyle name="Hyperlink" xfId="5838" builtinId="8" hidden="1"/>
    <cellStyle name="Hyperlink" xfId="5840" builtinId="8" hidden="1"/>
    <cellStyle name="Hyperlink" xfId="5842" builtinId="8" hidden="1"/>
    <cellStyle name="Hyperlink" xfId="5844" builtinId="8" hidden="1"/>
    <cellStyle name="Hyperlink" xfId="5846" builtinId="8" hidden="1"/>
    <cellStyle name="Hyperlink" xfId="5848" builtinId="8" hidden="1"/>
    <cellStyle name="Hyperlink" xfId="5850" builtinId="8" hidden="1"/>
    <cellStyle name="Hyperlink" xfId="5852" builtinId="8" hidden="1"/>
    <cellStyle name="Hyperlink" xfId="5854" builtinId="8" hidden="1"/>
    <cellStyle name="Hyperlink" xfId="5856" builtinId="8" hidden="1"/>
    <cellStyle name="Hyperlink" xfId="5858" builtinId="8" hidden="1"/>
    <cellStyle name="Hyperlink" xfId="5860" builtinId="8" hidden="1"/>
    <cellStyle name="Hyperlink" xfId="5862" builtinId="8" hidden="1"/>
    <cellStyle name="Hyperlink" xfId="5864" builtinId="8" hidden="1"/>
    <cellStyle name="Hyperlink" xfId="5866" builtinId="8" hidden="1"/>
    <cellStyle name="Hyperlink" xfId="5868" builtinId="8" hidden="1"/>
    <cellStyle name="Hyperlink" xfId="5870" builtinId="8" hidden="1"/>
    <cellStyle name="Hyperlink" xfId="5872" builtinId="8" hidden="1"/>
    <cellStyle name="Hyperlink" xfId="5874" builtinId="8" hidden="1"/>
    <cellStyle name="Hyperlink" xfId="5876" builtinId="8" hidden="1"/>
    <cellStyle name="Hyperlink" xfId="5878" builtinId="8" hidden="1"/>
    <cellStyle name="Hyperlink" xfId="5880" builtinId="8" hidden="1"/>
    <cellStyle name="Hyperlink" xfId="5882" builtinId="8" hidden="1"/>
    <cellStyle name="Hyperlink" xfId="5884" builtinId="8" hidden="1"/>
    <cellStyle name="Hyperlink" xfId="5886" builtinId="8" hidden="1"/>
    <cellStyle name="Hyperlink" xfId="5888" builtinId="8" hidden="1"/>
    <cellStyle name="Hyperlink" xfId="5890" builtinId="8" hidden="1"/>
    <cellStyle name="Hyperlink" xfId="5892" builtinId="8" hidden="1"/>
    <cellStyle name="Hyperlink" xfId="5894" builtinId="8" hidden="1"/>
    <cellStyle name="Hyperlink" xfId="5896" builtinId="8" hidden="1"/>
    <cellStyle name="Hyperlink" xfId="5898" builtinId="8" hidden="1"/>
    <cellStyle name="Hyperlink" xfId="5900" builtinId="8" hidden="1"/>
    <cellStyle name="Hyperlink" xfId="5902" builtinId="8" hidden="1"/>
    <cellStyle name="Hyperlink" xfId="5904" builtinId="8" hidden="1"/>
    <cellStyle name="Hyperlink" xfId="5906" builtinId="8" hidden="1"/>
    <cellStyle name="Hyperlink" xfId="5908" builtinId="8" hidden="1"/>
    <cellStyle name="Hyperlink" xfId="5910" builtinId="8" hidden="1"/>
    <cellStyle name="Hyperlink" xfId="5912" builtinId="8" hidden="1"/>
    <cellStyle name="Hyperlink" xfId="5914" builtinId="8" hidden="1"/>
    <cellStyle name="Hyperlink" xfId="5916" builtinId="8" hidden="1"/>
    <cellStyle name="Hyperlink" xfId="5918" builtinId="8" hidden="1"/>
    <cellStyle name="Hyperlink" xfId="5920" builtinId="8" hidden="1"/>
    <cellStyle name="Hyperlink" xfId="5922" builtinId="8" hidden="1"/>
    <cellStyle name="Hyperlink" xfId="5924" builtinId="8" hidden="1"/>
    <cellStyle name="Hyperlink" xfId="5926" builtinId="8" hidden="1"/>
    <cellStyle name="Hyperlink" xfId="5928" builtinId="8" hidden="1"/>
    <cellStyle name="Hyperlink" xfId="5930" builtinId="8" hidden="1"/>
    <cellStyle name="Hyperlink" xfId="5932" builtinId="8" hidden="1"/>
    <cellStyle name="Hyperlink" xfId="5934" builtinId="8" hidden="1"/>
    <cellStyle name="Hyperlink" xfId="5936" builtinId="8" hidden="1"/>
    <cellStyle name="Hyperlink" xfId="5938" builtinId="8" hidden="1"/>
    <cellStyle name="Hyperlink" xfId="5940" builtinId="8" hidden="1"/>
    <cellStyle name="Hyperlink" xfId="5942" builtinId="8" hidden="1"/>
    <cellStyle name="Hyperlink" xfId="5944" builtinId="8" hidden="1"/>
    <cellStyle name="Hyperlink" xfId="5946" builtinId="8" hidden="1"/>
    <cellStyle name="Hyperlink" xfId="5948" builtinId="8" hidden="1"/>
    <cellStyle name="Hyperlink" xfId="5950" builtinId="8" hidden="1"/>
    <cellStyle name="Hyperlink" xfId="5952" builtinId="8" hidden="1"/>
    <cellStyle name="Hyperlink" xfId="5954" builtinId="8" hidden="1"/>
    <cellStyle name="Hyperlink" xfId="5956" builtinId="8" hidden="1"/>
    <cellStyle name="Hyperlink" xfId="5958" builtinId="8" hidden="1"/>
    <cellStyle name="Hyperlink" xfId="5960" builtinId="8" hidden="1"/>
    <cellStyle name="Hyperlink" xfId="5962" builtinId="8" hidden="1"/>
    <cellStyle name="Hyperlink" xfId="5964" builtinId="8" hidden="1"/>
    <cellStyle name="Hyperlink" xfId="5966" builtinId="8" hidden="1"/>
    <cellStyle name="Hyperlink" xfId="5968" builtinId="8" hidden="1"/>
    <cellStyle name="Hyperlink" xfId="5970" builtinId="8" hidden="1"/>
    <cellStyle name="Hyperlink" xfId="5972" builtinId="8" hidden="1"/>
    <cellStyle name="Hyperlink" xfId="5974" builtinId="8" hidden="1"/>
    <cellStyle name="Hyperlink" xfId="5976" builtinId="8" hidden="1"/>
    <cellStyle name="Hyperlink" xfId="5978" builtinId="8" hidden="1"/>
    <cellStyle name="Hyperlink" xfId="5980" builtinId="8" hidden="1"/>
    <cellStyle name="Hyperlink" xfId="5982" builtinId="8" hidden="1"/>
    <cellStyle name="Hyperlink" xfId="5984" builtinId="8" hidden="1"/>
    <cellStyle name="Hyperlink" xfId="5986" builtinId="8" hidden="1"/>
    <cellStyle name="Hyperlink" xfId="5988" builtinId="8" hidden="1"/>
    <cellStyle name="Hyperlink" xfId="5990" builtinId="8" hidden="1"/>
    <cellStyle name="Hyperlink" xfId="5992" builtinId="8" hidden="1"/>
    <cellStyle name="Hyperlink" xfId="5994" builtinId="8" hidden="1"/>
    <cellStyle name="Hyperlink" xfId="5996" builtinId="8" hidden="1"/>
    <cellStyle name="Hyperlink" xfId="5998" builtinId="8" hidden="1"/>
    <cellStyle name="Hyperlink" xfId="6000" builtinId="8" hidden="1"/>
    <cellStyle name="Hyperlink" xfId="6002" builtinId="8" hidden="1"/>
    <cellStyle name="Hyperlink" xfId="6004" builtinId="8" hidden="1"/>
    <cellStyle name="Hyperlink" xfId="6006" builtinId="8" hidden="1"/>
    <cellStyle name="Hyperlink" xfId="6008" builtinId="8" hidden="1"/>
    <cellStyle name="Hyperlink" xfId="6010" builtinId="8" hidden="1"/>
    <cellStyle name="Hyperlink" xfId="6012" builtinId="8" hidden="1"/>
    <cellStyle name="Hyperlink" xfId="6014" builtinId="8" hidden="1"/>
    <cellStyle name="Hyperlink" xfId="6016" builtinId="8" hidden="1"/>
    <cellStyle name="Hyperlink" xfId="6018" builtinId="8" hidden="1"/>
    <cellStyle name="Hyperlink" xfId="6020" builtinId="8" hidden="1"/>
    <cellStyle name="Hyperlink" xfId="6022" builtinId="8" hidden="1"/>
    <cellStyle name="Hyperlink" xfId="6024" builtinId="8" hidden="1"/>
    <cellStyle name="Hyperlink" xfId="6026" builtinId="8" hidden="1"/>
    <cellStyle name="Hyperlink" xfId="6028" builtinId="8" hidden="1"/>
    <cellStyle name="Hyperlink" xfId="6030" builtinId="8" hidden="1"/>
    <cellStyle name="Hyperlink" xfId="6032" builtinId="8" hidden="1"/>
    <cellStyle name="Hyperlink" xfId="6034" builtinId="8" hidden="1"/>
    <cellStyle name="Hyperlink" xfId="6036" builtinId="8" hidden="1"/>
    <cellStyle name="Hyperlink" xfId="6038" builtinId="8" hidden="1"/>
    <cellStyle name="Hyperlink" xfId="6040" builtinId="8" hidden="1"/>
    <cellStyle name="Hyperlink" xfId="6042" builtinId="8" hidden="1"/>
    <cellStyle name="Hyperlink" xfId="6044" builtinId="8" hidden="1"/>
    <cellStyle name="Hyperlink" xfId="6046" builtinId="8" hidden="1"/>
    <cellStyle name="Hyperlink" xfId="6048" builtinId="8" hidden="1"/>
    <cellStyle name="Hyperlink" xfId="6050" builtinId="8" hidden="1"/>
    <cellStyle name="Hyperlink" xfId="6052" builtinId="8" hidden="1"/>
    <cellStyle name="Hyperlink" xfId="6054" builtinId="8" hidden="1"/>
    <cellStyle name="Hyperlink" xfId="6056" builtinId="8" hidden="1"/>
    <cellStyle name="Hyperlink" xfId="6058" builtinId="8" hidden="1"/>
    <cellStyle name="Hyperlink" xfId="6060" builtinId="8" hidden="1"/>
    <cellStyle name="Hyperlink" xfId="6062" builtinId="8" hidden="1"/>
    <cellStyle name="Hyperlink" xfId="6064" builtinId="8" hidden="1"/>
    <cellStyle name="Hyperlink" xfId="6066" builtinId="8" hidden="1"/>
    <cellStyle name="Hyperlink" xfId="6068" builtinId="8" hidden="1"/>
    <cellStyle name="Hyperlink" xfId="6070" builtinId="8" hidden="1"/>
    <cellStyle name="Hyperlink" xfId="6072" builtinId="8" hidden="1"/>
    <cellStyle name="Hyperlink" xfId="6074" builtinId="8" hidden="1"/>
    <cellStyle name="Hyperlink" xfId="6076" builtinId="8" hidden="1"/>
    <cellStyle name="Hyperlink" xfId="6078" builtinId="8" hidden="1"/>
    <cellStyle name="Hyperlink" xfId="6080" builtinId="8" hidden="1"/>
    <cellStyle name="Hyperlink" xfId="6082" builtinId="8" hidden="1"/>
    <cellStyle name="Hyperlink" xfId="6084" builtinId="8" hidden="1"/>
    <cellStyle name="Hyperlink" xfId="6086" builtinId="8" hidden="1"/>
    <cellStyle name="Hyperlink" xfId="6088" builtinId="8" hidden="1"/>
    <cellStyle name="Hyperlink" xfId="6090" builtinId="8" hidden="1"/>
    <cellStyle name="Hyperlink" xfId="6092" builtinId="8" hidden="1"/>
    <cellStyle name="Hyperlink" xfId="6094" builtinId="8" hidden="1"/>
    <cellStyle name="Hyperlink" xfId="6096" builtinId="8" hidden="1"/>
    <cellStyle name="Hyperlink" xfId="6098" builtinId="8" hidden="1"/>
    <cellStyle name="Hyperlink" xfId="6100" builtinId="8" hidden="1"/>
    <cellStyle name="Hyperlink" xfId="6102" builtinId="8" hidden="1"/>
    <cellStyle name="Hyperlink" xfId="6104" builtinId="8" hidden="1"/>
    <cellStyle name="Hyperlink" xfId="6106" builtinId="8" hidden="1"/>
    <cellStyle name="Hyperlink" xfId="6108" builtinId="8" hidden="1"/>
    <cellStyle name="Hyperlink" xfId="6110" builtinId="8" hidden="1"/>
    <cellStyle name="Hyperlink" xfId="6112" builtinId="8" hidden="1"/>
    <cellStyle name="Hyperlink" xfId="6114" builtinId="8" hidden="1"/>
    <cellStyle name="Hyperlink" xfId="6116" builtinId="8" hidden="1"/>
    <cellStyle name="Hyperlink" xfId="6118" builtinId="8" hidden="1"/>
    <cellStyle name="Hyperlink" xfId="6120" builtinId="8" hidden="1"/>
    <cellStyle name="Hyperlink" xfId="6122" builtinId="8" hidden="1"/>
    <cellStyle name="Hyperlink" xfId="6124" builtinId="8" hidden="1"/>
    <cellStyle name="Hyperlink" xfId="6126" builtinId="8" hidden="1"/>
    <cellStyle name="Hyperlink" xfId="6128" builtinId="8" hidden="1"/>
    <cellStyle name="Hyperlink" xfId="6130" builtinId="8" hidden="1"/>
    <cellStyle name="Hyperlink" xfId="6132" builtinId="8" hidden="1"/>
    <cellStyle name="Hyperlink" xfId="6134" builtinId="8" hidden="1"/>
    <cellStyle name="Hyperlink" xfId="6136" builtinId="8" hidden="1"/>
    <cellStyle name="Hyperlink" xfId="6138" builtinId="8" hidden="1"/>
    <cellStyle name="Hyperlink" xfId="6140" builtinId="8" hidden="1"/>
    <cellStyle name="Hyperlink" xfId="6142" builtinId="8" hidden="1"/>
    <cellStyle name="Hyperlink" xfId="6144" builtinId="8" hidden="1"/>
    <cellStyle name="Hyperlink" xfId="6146" builtinId="8" hidden="1"/>
    <cellStyle name="Hyperlink" xfId="6148" builtinId="8" hidden="1"/>
    <cellStyle name="Hyperlink" xfId="6150" builtinId="8" hidden="1"/>
    <cellStyle name="Hyperlink" xfId="6152" builtinId="8" hidden="1"/>
    <cellStyle name="Hyperlink" xfId="6154" builtinId="8" hidden="1"/>
    <cellStyle name="Hyperlink" xfId="6156" builtinId="8" hidden="1"/>
    <cellStyle name="Hyperlink" xfId="6158" builtinId="8" hidden="1"/>
    <cellStyle name="Hyperlink" xfId="6160" builtinId="8" hidden="1"/>
    <cellStyle name="Hyperlink" xfId="6162" builtinId="8" hidden="1"/>
    <cellStyle name="Hyperlink" xfId="6164" builtinId="8" hidden="1"/>
    <cellStyle name="Hyperlink" xfId="6166" builtinId="8" hidden="1"/>
    <cellStyle name="Hyperlink" xfId="6168" builtinId="8" hidden="1"/>
    <cellStyle name="Hyperlink" xfId="6170" builtinId="8" hidden="1"/>
    <cellStyle name="Hyperlink" xfId="6172" builtinId="8" hidden="1"/>
    <cellStyle name="Hyperlink" xfId="6174" builtinId="8" hidden="1"/>
    <cellStyle name="Hyperlink" xfId="6176" builtinId="8" hidden="1"/>
    <cellStyle name="Hyperlink" xfId="6178" builtinId="8" hidden="1"/>
    <cellStyle name="Hyperlink" xfId="6180" builtinId="8" hidden="1"/>
    <cellStyle name="Hyperlink" xfId="6182" builtinId="8" hidden="1"/>
    <cellStyle name="Hyperlink" xfId="6184" builtinId="8" hidden="1"/>
    <cellStyle name="Hyperlink" xfId="6186" builtinId="8" hidden="1"/>
    <cellStyle name="Hyperlink" xfId="6188" builtinId="8" hidden="1"/>
    <cellStyle name="Hyperlink" xfId="6190" builtinId="8" hidden="1"/>
    <cellStyle name="Hyperlink" xfId="6192" builtinId="8" hidden="1"/>
    <cellStyle name="Hyperlink" xfId="6194" builtinId="8" hidden="1"/>
    <cellStyle name="Hyperlink" xfId="6196" builtinId="8" hidden="1"/>
    <cellStyle name="Hyperlink" xfId="6198" builtinId="8" hidden="1"/>
    <cellStyle name="Hyperlink" xfId="6200" builtinId="8" hidden="1"/>
    <cellStyle name="Hyperlink" xfId="6202" builtinId="8" hidden="1"/>
    <cellStyle name="Hyperlink" xfId="6204" builtinId="8" hidden="1"/>
    <cellStyle name="Hyperlink" xfId="6206" builtinId="8" hidden="1"/>
    <cellStyle name="Hyperlink" xfId="6208" builtinId="8" hidden="1"/>
    <cellStyle name="Hyperlink" xfId="6210" builtinId="8" hidden="1"/>
    <cellStyle name="Hyperlink" xfId="6212" builtinId="8" hidden="1"/>
    <cellStyle name="Hyperlink" xfId="6214" builtinId="8" hidden="1"/>
    <cellStyle name="Hyperlink" xfId="6216" builtinId="8" hidden="1"/>
    <cellStyle name="Hyperlink" xfId="6218" builtinId="8" hidden="1"/>
    <cellStyle name="Hyperlink" xfId="6220" builtinId="8" hidden="1"/>
    <cellStyle name="Hyperlink" xfId="6222" builtinId="8" hidden="1"/>
    <cellStyle name="Hyperlink" xfId="6224" builtinId="8" hidden="1"/>
    <cellStyle name="Hyperlink" xfId="6226" builtinId="8" hidden="1"/>
    <cellStyle name="Hyperlink" xfId="6228" builtinId="8" hidden="1"/>
    <cellStyle name="Hyperlink" xfId="6230" builtinId="8" hidden="1"/>
    <cellStyle name="Hyperlink" xfId="6232" builtinId="8" hidden="1"/>
    <cellStyle name="Hyperlink" xfId="6234" builtinId="8" hidden="1"/>
    <cellStyle name="Hyperlink" xfId="6236" builtinId="8" hidden="1"/>
    <cellStyle name="Hyperlink" xfId="6238" builtinId="8" hidden="1"/>
    <cellStyle name="Hyperlink" xfId="6240" builtinId="8" hidden="1"/>
    <cellStyle name="Hyperlink" xfId="6242" builtinId="8" hidden="1"/>
    <cellStyle name="Hyperlink" xfId="6244" builtinId="8" hidden="1"/>
    <cellStyle name="Hyperlink" xfId="6246" builtinId="8" hidden="1"/>
    <cellStyle name="Hyperlink" xfId="6248" builtinId="8" hidden="1"/>
    <cellStyle name="Hyperlink" xfId="6250" builtinId="8" hidden="1"/>
    <cellStyle name="Hyperlink" xfId="6252" builtinId="8" hidden="1"/>
    <cellStyle name="Hyperlink" xfId="6254" builtinId="8" hidden="1"/>
    <cellStyle name="Hyperlink" xfId="6256" builtinId="8" hidden="1"/>
    <cellStyle name="Hyperlink" xfId="6258" builtinId="8" hidden="1"/>
    <cellStyle name="Hyperlink" xfId="6260" builtinId="8" hidden="1"/>
    <cellStyle name="Hyperlink" xfId="6262" builtinId="8" hidden="1"/>
    <cellStyle name="Hyperlink" xfId="6264" builtinId="8" hidden="1"/>
    <cellStyle name="Hyperlink" xfId="6266" builtinId="8" hidden="1"/>
    <cellStyle name="Hyperlink" xfId="6268" builtinId="8" hidden="1"/>
    <cellStyle name="Hyperlink" xfId="6270" builtinId="8" hidden="1"/>
    <cellStyle name="Hyperlink" xfId="6272" builtinId="8" hidden="1"/>
    <cellStyle name="Hyperlink" xfId="6274" builtinId="8" hidden="1"/>
    <cellStyle name="Hyperlink" xfId="6276" builtinId="8" hidden="1"/>
    <cellStyle name="Hyperlink" xfId="6278" builtinId="8" hidden="1"/>
    <cellStyle name="Hyperlink" xfId="6280" builtinId="8" hidden="1"/>
    <cellStyle name="Hyperlink" xfId="6282" builtinId="8" hidden="1"/>
    <cellStyle name="Hyperlink" xfId="6284" builtinId="8" hidden="1"/>
    <cellStyle name="Hyperlink" xfId="6286" builtinId="8" hidden="1"/>
    <cellStyle name="Hyperlink" xfId="6288" builtinId="8" hidden="1"/>
    <cellStyle name="Hyperlink" xfId="6290" builtinId="8" hidden="1"/>
    <cellStyle name="Hyperlink" xfId="6292" builtinId="8" hidden="1"/>
    <cellStyle name="Hyperlink" xfId="6294" builtinId="8" hidden="1"/>
    <cellStyle name="Hyperlink" xfId="6296" builtinId="8" hidden="1"/>
    <cellStyle name="Hyperlink" xfId="6298" builtinId="8" hidden="1"/>
    <cellStyle name="Hyperlink" xfId="6300" builtinId="8" hidden="1"/>
    <cellStyle name="Hyperlink" xfId="6302" builtinId="8" hidden="1"/>
    <cellStyle name="Hyperlink" xfId="6304" builtinId="8" hidden="1"/>
    <cellStyle name="Hyperlink" xfId="6306" builtinId="8" hidden="1"/>
    <cellStyle name="Hyperlink" xfId="6308" builtinId="8" hidden="1"/>
    <cellStyle name="Hyperlink" xfId="6310" builtinId="8" hidden="1"/>
    <cellStyle name="Hyperlink" xfId="6312" builtinId="8" hidden="1"/>
    <cellStyle name="Hyperlink" xfId="6314" builtinId="8" hidden="1"/>
    <cellStyle name="Hyperlink" xfId="6316" builtinId="8" hidden="1"/>
    <cellStyle name="Hyperlink" xfId="6318" builtinId="8" hidden="1"/>
    <cellStyle name="Hyperlink" xfId="6320" builtinId="8" hidden="1"/>
    <cellStyle name="Hyperlink" xfId="6322" builtinId="8" hidden="1"/>
    <cellStyle name="Hyperlink" xfId="6324" builtinId="8" hidden="1"/>
    <cellStyle name="Hyperlink" xfId="6326" builtinId="8" hidden="1"/>
    <cellStyle name="Hyperlink" xfId="6328" builtinId="8" hidden="1"/>
    <cellStyle name="Hyperlink" xfId="6330" builtinId="8" hidden="1"/>
    <cellStyle name="Hyperlink" xfId="6332" builtinId="8" hidden="1"/>
    <cellStyle name="Hyperlink" xfId="6334" builtinId="8" hidden="1"/>
    <cellStyle name="Hyperlink" xfId="6336" builtinId="8" hidden="1"/>
    <cellStyle name="Hyperlink" xfId="6338" builtinId="8" hidden="1"/>
    <cellStyle name="Hyperlink" xfId="6340" builtinId="8" hidden="1"/>
    <cellStyle name="Hyperlink" xfId="6342" builtinId="8" hidden="1"/>
    <cellStyle name="Hyperlink" xfId="6344" builtinId="8" hidden="1"/>
    <cellStyle name="Hyperlink" xfId="6346" builtinId="8" hidden="1"/>
    <cellStyle name="Hyperlink" xfId="6348" builtinId="8" hidden="1"/>
    <cellStyle name="Hyperlink" xfId="6350" builtinId="8" hidden="1"/>
    <cellStyle name="Hyperlink" xfId="6352" builtinId="8" hidden="1"/>
    <cellStyle name="Hyperlink" xfId="6354" builtinId="8" hidden="1"/>
    <cellStyle name="Hyperlink" xfId="6356" builtinId="8" hidden="1"/>
    <cellStyle name="Hyperlink" xfId="6358" builtinId="8" hidden="1"/>
    <cellStyle name="Hyperlink" xfId="6360" builtinId="8" hidden="1"/>
    <cellStyle name="Hyperlink" xfId="6362" builtinId="8" hidden="1"/>
    <cellStyle name="Hyperlink" xfId="6364" builtinId="8" hidden="1"/>
    <cellStyle name="Hyperlink" xfId="6366" builtinId="8" hidden="1"/>
    <cellStyle name="Hyperlink" xfId="6368" builtinId="8" hidden="1"/>
    <cellStyle name="Hyperlink" xfId="6370" builtinId="8" hidden="1"/>
    <cellStyle name="Hyperlink" xfId="6372" builtinId="8" hidden="1"/>
    <cellStyle name="Hyperlink" xfId="6374" builtinId="8" hidden="1"/>
    <cellStyle name="Hyperlink" xfId="6376" builtinId="8" hidden="1"/>
    <cellStyle name="Hyperlink" xfId="6378" builtinId="8" hidden="1"/>
    <cellStyle name="Hyperlink" xfId="6380" builtinId="8" hidden="1"/>
    <cellStyle name="Hyperlink" xfId="6382" builtinId="8" hidden="1"/>
    <cellStyle name="Hyperlink" xfId="6384" builtinId="8" hidden="1"/>
    <cellStyle name="Hyperlink" xfId="6386" builtinId="8" hidden="1"/>
    <cellStyle name="Hyperlink" xfId="6388" builtinId="8" hidden="1"/>
    <cellStyle name="Hyperlink" xfId="6390" builtinId="8" hidden="1"/>
    <cellStyle name="Hyperlink" xfId="6392" builtinId="8" hidden="1"/>
    <cellStyle name="Hyperlink" xfId="6394" builtinId="8" hidden="1"/>
    <cellStyle name="Hyperlink" xfId="6396" builtinId="8" hidden="1"/>
    <cellStyle name="Hyperlink" xfId="6398" builtinId="8" hidden="1"/>
    <cellStyle name="Hyperlink" xfId="6400" builtinId="8" hidden="1"/>
    <cellStyle name="Hyperlink" xfId="6402" builtinId="8" hidden="1"/>
    <cellStyle name="Hyperlink" xfId="6404" builtinId="8" hidden="1"/>
    <cellStyle name="Hyperlink" xfId="6406" builtinId="8" hidden="1"/>
    <cellStyle name="Hyperlink" xfId="6408" builtinId="8" hidden="1"/>
    <cellStyle name="Hyperlink" xfId="6410" builtinId="8" hidden="1"/>
    <cellStyle name="Hyperlink" xfId="6412" builtinId="8" hidden="1"/>
    <cellStyle name="Hyperlink" xfId="6414" builtinId="8" hidden="1"/>
    <cellStyle name="Hyperlink" xfId="6416" builtinId="8" hidden="1"/>
    <cellStyle name="Hyperlink" xfId="6418" builtinId="8" hidden="1"/>
    <cellStyle name="Hyperlink" xfId="6420" builtinId="8" hidden="1"/>
    <cellStyle name="Hyperlink" xfId="6422" builtinId="8" hidden="1"/>
    <cellStyle name="Hyperlink" xfId="6424" builtinId="8" hidden="1"/>
    <cellStyle name="Hyperlink" xfId="6426" builtinId="8" hidden="1"/>
    <cellStyle name="Hyperlink" xfId="6428" builtinId="8" hidden="1"/>
    <cellStyle name="Hyperlink" xfId="6430" builtinId="8" hidden="1"/>
    <cellStyle name="Hyperlink" xfId="6432" builtinId="8" hidden="1"/>
    <cellStyle name="Hyperlink" xfId="6434" builtinId="8" hidden="1"/>
    <cellStyle name="Hyperlink" xfId="6436" builtinId="8" hidden="1"/>
    <cellStyle name="Hyperlink" xfId="6438" builtinId="8" hidden="1"/>
    <cellStyle name="Hyperlink" xfId="6440" builtinId="8" hidden="1"/>
    <cellStyle name="Hyperlink" xfId="6442" builtinId="8" hidden="1"/>
    <cellStyle name="Hyperlink" xfId="6444" builtinId="8" hidden="1"/>
    <cellStyle name="Hyperlink" xfId="6446" builtinId="8" hidden="1"/>
    <cellStyle name="Hyperlink" xfId="6448" builtinId="8" hidden="1"/>
    <cellStyle name="Hyperlink" xfId="6450" builtinId="8" hidden="1"/>
    <cellStyle name="Hyperlink" xfId="6452" builtinId="8" hidden="1"/>
    <cellStyle name="Hyperlink" xfId="6454" builtinId="8" hidden="1"/>
    <cellStyle name="Hyperlink" xfId="6456" builtinId="8" hidden="1"/>
    <cellStyle name="Hyperlink" xfId="6458" builtinId="8" hidden="1"/>
    <cellStyle name="Hyperlink" xfId="6460" builtinId="8" hidden="1"/>
    <cellStyle name="Hyperlink" xfId="6462" builtinId="8" hidden="1"/>
    <cellStyle name="Hyperlink" xfId="6464" builtinId="8" hidden="1"/>
    <cellStyle name="Hyperlink" xfId="6466" builtinId="8" hidden="1"/>
    <cellStyle name="Hyperlink" xfId="6468" builtinId="8" hidden="1"/>
    <cellStyle name="Hyperlink" xfId="6470" builtinId="8" hidden="1"/>
    <cellStyle name="Hyperlink" xfId="6472" builtinId="8" hidden="1"/>
    <cellStyle name="Hyperlink" xfId="6474" builtinId="8" hidden="1"/>
    <cellStyle name="Hyperlink" xfId="6476" builtinId="8" hidden="1"/>
    <cellStyle name="Hyperlink" xfId="6478" builtinId="8" hidden="1"/>
    <cellStyle name="Hyperlink" xfId="6480" builtinId="8" hidden="1"/>
    <cellStyle name="Hyperlink" xfId="6482" builtinId="8" hidden="1"/>
    <cellStyle name="Hyperlink" xfId="6484" builtinId="8" hidden="1"/>
    <cellStyle name="Hyperlink" xfId="6486" builtinId="8" hidden="1"/>
    <cellStyle name="Hyperlink" xfId="6488" builtinId="8" hidden="1"/>
    <cellStyle name="Hyperlink" xfId="6490" builtinId="8" hidden="1"/>
    <cellStyle name="Hyperlink" xfId="6492" builtinId="8" hidden="1"/>
    <cellStyle name="Hyperlink" xfId="6494" builtinId="8" hidden="1"/>
    <cellStyle name="Hyperlink" xfId="6496" builtinId="8" hidden="1"/>
    <cellStyle name="Hyperlink" xfId="6498" builtinId="8" hidden="1"/>
    <cellStyle name="Hyperlink" xfId="6500" builtinId="8" hidden="1"/>
    <cellStyle name="Hyperlink" xfId="6502" builtinId="8" hidden="1"/>
    <cellStyle name="Hyperlink" xfId="6504" builtinId="8" hidden="1"/>
    <cellStyle name="Hyperlink" xfId="6506" builtinId="8" hidden="1"/>
    <cellStyle name="Hyperlink" xfId="6508" builtinId="8" hidden="1"/>
    <cellStyle name="Hyperlink" xfId="6510" builtinId="8" hidden="1"/>
    <cellStyle name="Hyperlink" xfId="6512" builtinId="8" hidden="1"/>
    <cellStyle name="Hyperlink" xfId="6514" builtinId="8" hidden="1"/>
    <cellStyle name="Hyperlink" xfId="6516" builtinId="8" hidden="1"/>
    <cellStyle name="Hyperlink" xfId="6518" builtinId="8" hidden="1"/>
    <cellStyle name="Hyperlink" xfId="6520" builtinId="8" hidden="1"/>
    <cellStyle name="Hyperlink" xfId="6522" builtinId="8" hidden="1"/>
    <cellStyle name="Hyperlink" xfId="6524" builtinId="8" hidden="1"/>
    <cellStyle name="Hyperlink" xfId="6526" builtinId="8" hidden="1"/>
    <cellStyle name="Hyperlink" xfId="6528" builtinId="8" hidden="1"/>
    <cellStyle name="Hyperlink" xfId="6530" builtinId="8" hidden="1"/>
    <cellStyle name="Hyperlink" xfId="6532" builtinId="8" hidden="1"/>
    <cellStyle name="Hyperlink" xfId="6534" builtinId="8" hidden="1"/>
    <cellStyle name="Hyperlink" xfId="6536" builtinId="8" hidden="1"/>
    <cellStyle name="Hyperlink" xfId="6538" builtinId="8" hidden="1"/>
    <cellStyle name="Hyperlink" xfId="6540" builtinId="8" hidden="1"/>
    <cellStyle name="Hyperlink" xfId="6542" builtinId="8" hidden="1"/>
    <cellStyle name="Hyperlink" xfId="6544" builtinId="8" hidden="1"/>
    <cellStyle name="Hyperlink" xfId="6546" builtinId="8" hidden="1"/>
    <cellStyle name="Hyperlink" xfId="6548" builtinId="8" hidden="1"/>
    <cellStyle name="Hyperlink" xfId="6550" builtinId="8" hidden="1"/>
    <cellStyle name="Hyperlink" xfId="6552" builtinId="8" hidden="1"/>
    <cellStyle name="Hyperlink" xfId="6554" builtinId="8" hidden="1"/>
    <cellStyle name="Hyperlink" xfId="6556" builtinId="8" hidden="1"/>
    <cellStyle name="Hyperlink" xfId="6558" builtinId="8" hidden="1"/>
    <cellStyle name="Hyperlink" xfId="6560" builtinId="8" hidden="1"/>
    <cellStyle name="Hyperlink" xfId="6562" builtinId="8" hidden="1"/>
    <cellStyle name="Hyperlink" xfId="6564" builtinId="8" hidden="1"/>
    <cellStyle name="Hyperlink" xfId="6566" builtinId="8" hidden="1"/>
    <cellStyle name="Hyperlink" xfId="6568" builtinId="8" hidden="1"/>
    <cellStyle name="Hyperlink" xfId="6570" builtinId="8" hidden="1"/>
    <cellStyle name="Hyperlink" xfId="6572" builtinId="8" hidden="1"/>
    <cellStyle name="Hyperlink" xfId="6574" builtinId="8" hidden="1"/>
    <cellStyle name="Hyperlink" xfId="6576" builtinId="8" hidden="1"/>
    <cellStyle name="Hyperlink" xfId="6578" builtinId="8" hidden="1"/>
    <cellStyle name="Hyperlink" xfId="6580" builtinId="8" hidden="1"/>
    <cellStyle name="Hyperlink" xfId="6582" builtinId="8" hidden="1"/>
    <cellStyle name="Hyperlink" xfId="6584" builtinId="8" hidden="1"/>
    <cellStyle name="Hyperlink" xfId="6586" builtinId="8" hidden="1"/>
    <cellStyle name="Hyperlink" xfId="6588" builtinId="8" hidden="1"/>
    <cellStyle name="Hyperlink" xfId="6590" builtinId="8" hidden="1"/>
    <cellStyle name="Hyperlink" xfId="6592" builtinId="8" hidden="1"/>
    <cellStyle name="Hyperlink" xfId="6594" builtinId="8" hidden="1"/>
    <cellStyle name="Hyperlink" xfId="6596" builtinId="8" hidden="1"/>
    <cellStyle name="Hyperlink" xfId="6598" builtinId="8" hidden="1"/>
    <cellStyle name="Hyperlink" xfId="6600" builtinId="8" hidden="1"/>
    <cellStyle name="Hyperlink" xfId="6602" builtinId="8" hidden="1"/>
    <cellStyle name="Hyperlink" xfId="6604" builtinId="8" hidden="1"/>
    <cellStyle name="Hyperlink" xfId="6606" builtinId="8" hidden="1"/>
    <cellStyle name="Hyperlink" xfId="6608" builtinId="8" hidden="1"/>
    <cellStyle name="Hyperlink" xfId="6610" builtinId="8" hidden="1"/>
    <cellStyle name="Hyperlink" xfId="6612" builtinId="8" hidden="1"/>
    <cellStyle name="Hyperlink" xfId="6614" builtinId="8" hidden="1"/>
    <cellStyle name="Hyperlink" xfId="6616" builtinId="8" hidden="1"/>
    <cellStyle name="Hyperlink" xfId="6618" builtinId="8" hidden="1"/>
    <cellStyle name="Hyperlink" xfId="6620" builtinId="8" hidden="1"/>
    <cellStyle name="Hyperlink" xfId="6622" builtinId="8" hidden="1"/>
    <cellStyle name="Hyperlink" xfId="6624" builtinId="8" hidden="1"/>
    <cellStyle name="Hyperlink" xfId="6626" builtinId="8" hidden="1"/>
    <cellStyle name="Hyperlink" xfId="6628" builtinId="8" hidden="1"/>
    <cellStyle name="Hyperlink" xfId="6630" builtinId="8" hidden="1"/>
    <cellStyle name="Hyperlink" xfId="6632" builtinId="8" hidden="1"/>
    <cellStyle name="Hyperlink" xfId="6634" builtinId="8" hidden="1"/>
    <cellStyle name="Hyperlink" xfId="6636" builtinId="8" hidden="1"/>
    <cellStyle name="Hyperlink" xfId="6638" builtinId="8" hidden="1"/>
    <cellStyle name="Hyperlink" xfId="6640" builtinId="8" hidden="1"/>
    <cellStyle name="Hyperlink" xfId="6642" builtinId="8" hidden="1"/>
    <cellStyle name="Hyperlink" xfId="6644" builtinId="8" hidden="1"/>
    <cellStyle name="Hyperlink" xfId="6646" builtinId="8" hidden="1"/>
    <cellStyle name="Hyperlink" xfId="6648" builtinId="8" hidden="1"/>
    <cellStyle name="Hyperlink" xfId="6650" builtinId="8" hidden="1"/>
    <cellStyle name="Hyperlink" xfId="6652" builtinId="8" hidden="1"/>
    <cellStyle name="Hyperlink" xfId="6654" builtinId="8" hidden="1"/>
    <cellStyle name="Hyperlink" xfId="6656" builtinId="8" hidden="1"/>
    <cellStyle name="Hyperlink" xfId="6658" builtinId="8" hidden="1"/>
    <cellStyle name="Hyperlink" xfId="6660" builtinId="8" hidden="1"/>
    <cellStyle name="Hyperlink" xfId="6662" builtinId="8" hidden="1"/>
    <cellStyle name="Hyperlink" xfId="6664" builtinId="8" hidden="1"/>
    <cellStyle name="Hyperlink" xfId="6666" builtinId="8" hidden="1"/>
    <cellStyle name="Hyperlink" xfId="6668" builtinId="8" hidden="1"/>
    <cellStyle name="Hyperlink" xfId="6670" builtinId="8" hidden="1"/>
    <cellStyle name="Hyperlink" xfId="6672" builtinId="8" hidden="1"/>
    <cellStyle name="Hyperlink" xfId="6674" builtinId="8" hidden="1"/>
    <cellStyle name="Hyperlink" xfId="6676" builtinId="8" hidden="1"/>
    <cellStyle name="Hyperlink" xfId="6678" builtinId="8" hidden="1"/>
    <cellStyle name="Hyperlink" xfId="6680" builtinId="8" hidden="1"/>
    <cellStyle name="Hyperlink" xfId="6682" builtinId="8" hidden="1"/>
    <cellStyle name="Hyperlink" xfId="6684" builtinId="8" hidden="1"/>
    <cellStyle name="Hyperlink" xfId="6686" builtinId="8" hidden="1"/>
    <cellStyle name="Hyperlink" xfId="6688" builtinId="8" hidden="1"/>
    <cellStyle name="Hyperlink" xfId="6690" builtinId="8" hidden="1"/>
    <cellStyle name="Hyperlink" xfId="6692" builtinId="8" hidden="1"/>
    <cellStyle name="Hyperlink" xfId="6694" builtinId="8" hidden="1"/>
    <cellStyle name="Hyperlink" xfId="6696" builtinId="8" hidden="1"/>
    <cellStyle name="Hyperlink" xfId="6698" builtinId="8" hidden="1"/>
    <cellStyle name="Hyperlink" xfId="6700" builtinId="8" hidden="1"/>
    <cellStyle name="Hyperlink" xfId="6702" builtinId="8" hidden="1"/>
    <cellStyle name="Hyperlink" xfId="6704" builtinId="8" hidden="1"/>
    <cellStyle name="Hyperlink" xfId="6706" builtinId="8" hidden="1"/>
    <cellStyle name="Hyperlink" xfId="6708" builtinId="8" hidden="1"/>
    <cellStyle name="Hyperlink" xfId="6710" builtinId="8" hidden="1"/>
    <cellStyle name="Hyperlink" xfId="6712" builtinId="8" hidden="1"/>
    <cellStyle name="Hyperlink" xfId="6714" builtinId="8" hidden="1"/>
    <cellStyle name="Hyperlink" xfId="6716" builtinId="8" hidden="1"/>
    <cellStyle name="Hyperlink" xfId="6718" builtinId="8" hidden="1"/>
    <cellStyle name="Hyperlink" xfId="6720" builtinId="8" hidden="1"/>
    <cellStyle name="Hyperlink" xfId="6722" builtinId="8" hidden="1"/>
    <cellStyle name="Hyperlink" xfId="6724" builtinId="8" hidden="1"/>
    <cellStyle name="Hyperlink" xfId="6726" builtinId="8" hidden="1"/>
    <cellStyle name="Hyperlink" xfId="6728" builtinId="8" hidden="1"/>
    <cellStyle name="Hyperlink" xfId="6730" builtinId="8" hidden="1"/>
    <cellStyle name="Hyperlink" xfId="6732" builtinId="8" hidden="1"/>
    <cellStyle name="Hyperlink" xfId="6734" builtinId="8" hidden="1"/>
    <cellStyle name="Hyperlink" xfId="6736" builtinId="8" hidden="1"/>
    <cellStyle name="Hyperlink" xfId="6738" builtinId="8" hidden="1"/>
    <cellStyle name="Hyperlink" xfId="6740" builtinId="8" hidden="1"/>
    <cellStyle name="Hyperlink" xfId="6742" builtinId="8" hidden="1"/>
    <cellStyle name="Hyperlink" xfId="6744" builtinId="8" hidden="1"/>
    <cellStyle name="Hyperlink" xfId="6746" builtinId="8" hidden="1"/>
    <cellStyle name="Hyperlink" xfId="6748" builtinId="8" hidden="1"/>
    <cellStyle name="Hyperlink" xfId="6750" builtinId="8" hidden="1"/>
    <cellStyle name="Hyperlink" xfId="6752" builtinId="8" hidden="1"/>
    <cellStyle name="Hyperlink" xfId="6754" builtinId="8" hidden="1"/>
    <cellStyle name="Hyperlink" xfId="6756" builtinId="8" hidden="1"/>
    <cellStyle name="Hyperlink" xfId="6758" builtinId="8" hidden="1"/>
    <cellStyle name="Hyperlink" xfId="6760" builtinId="8" hidden="1"/>
    <cellStyle name="Hyperlink" xfId="6762" builtinId="8" hidden="1"/>
    <cellStyle name="Hyperlink" xfId="6764" builtinId="8" hidden="1"/>
    <cellStyle name="Hyperlink" xfId="6766" builtinId="8" hidden="1"/>
    <cellStyle name="Hyperlink" xfId="6768" builtinId="8" hidden="1"/>
    <cellStyle name="Hyperlink" xfId="6770" builtinId="8" hidden="1"/>
    <cellStyle name="Hyperlink" xfId="6772" builtinId="8" hidden="1"/>
    <cellStyle name="Hyperlink" xfId="6774" builtinId="8" hidden="1"/>
    <cellStyle name="Hyperlink" xfId="6776" builtinId="8" hidden="1"/>
    <cellStyle name="Hyperlink" xfId="6778" builtinId="8" hidden="1"/>
    <cellStyle name="Hyperlink" xfId="6780" builtinId="8" hidden="1"/>
    <cellStyle name="Hyperlink" xfId="6782" builtinId="8" hidden="1"/>
    <cellStyle name="Hyperlink" xfId="6784" builtinId="8" hidden="1"/>
    <cellStyle name="Hyperlink" xfId="6786" builtinId="8" hidden="1"/>
    <cellStyle name="Hyperlink" xfId="6788" builtinId="8" hidden="1"/>
    <cellStyle name="Hyperlink" xfId="6790" builtinId="8" hidden="1"/>
    <cellStyle name="Hyperlink" xfId="6792" builtinId="8" hidden="1"/>
    <cellStyle name="Hyperlink" xfId="6794" builtinId="8" hidden="1"/>
    <cellStyle name="Hyperlink" xfId="6796" builtinId="8" hidden="1"/>
    <cellStyle name="Hyperlink" xfId="6798" builtinId="8" hidden="1"/>
    <cellStyle name="Hyperlink" xfId="6800" builtinId="8" hidden="1"/>
    <cellStyle name="Hyperlink" xfId="6802" builtinId="8" hidden="1"/>
    <cellStyle name="Hyperlink" xfId="6804" builtinId="8" hidden="1"/>
    <cellStyle name="Hyperlink" xfId="6806" builtinId="8" hidden="1"/>
    <cellStyle name="Hyperlink" xfId="6808" builtinId="8" hidden="1"/>
    <cellStyle name="Hyperlink" xfId="6810" builtinId="8" hidden="1"/>
    <cellStyle name="Hyperlink" xfId="6812" builtinId="8" hidden="1"/>
    <cellStyle name="Hyperlink" xfId="6814" builtinId="8" hidden="1"/>
    <cellStyle name="Hyperlink" xfId="6816" builtinId="8" hidden="1"/>
    <cellStyle name="Hyperlink" xfId="6818" builtinId="8" hidden="1"/>
    <cellStyle name="Hyperlink" xfId="6820" builtinId="8" hidden="1"/>
    <cellStyle name="Hyperlink" xfId="6822" builtinId="8" hidden="1"/>
    <cellStyle name="Hyperlink" xfId="6824" builtinId="8" hidden="1"/>
    <cellStyle name="Hyperlink" xfId="6826" builtinId="8" hidden="1"/>
    <cellStyle name="Hyperlink" xfId="6828" builtinId="8" hidden="1"/>
    <cellStyle name="Hyperlink" xfId="6830" builtinId="8" hidden="1"/>
    <cellStyle name="Hyperlink" xfId="6832" builtinId="8" hidden="1"/>
    <cellStyle name="Hyperlink" xfId="6834" builtinId="8" hidden="1"/>
    <cellStyle name="Hyperlink" xfId="6836" builtinId="8" hidden="1"/>
    <cellStyle name="Hyperlink" xfId="6838" builtinId="8" hidden="1"/>
    <cellStyle name="Hyperlink" xfId="6840" builtinId="8" hidden="1"/>
    <cellStyle name="Hyperlink" xfId="6842" builtinId="8" hidden="1"/>
    <cellStyle name="Hyperlink" xfId="6844" builtinId="8" hidden="1"/>
    <cellStyle name="Hyperlink" xfId="6846" builtinId="8" hidden="1"/>
    <cellStyle name="Hyperlink" xfId="6848" builtinId="8" hidden="1"/>
    <cellStyle name="Hyperlink" xfId="6850" builtinId="8" hidden="1"/>
    <cellStyle name="Hyperlink" xfId="6852" builtinId="8" hidden="1"/>
    <cellStyle name="Hyperlink" xfId="6854" builtinId="8" hidden="1"/>
    <cellStyle name="Hyperlink" xfId="6856" builtinId="8" hidden="1"/>
    <cellStyle name="Hyperlink" xfId="6858" builtinId="8" hidden="1"/>
    <cellStyle name="Hyperlink" xfId="6860" builtinId="8" hidden="1"/>
    <cellStyle name="Hyperlink" xfId="6862" builtinId="8" hidden="1"/>
    <cellStyle name="Hyperlink" xfId="6864" builtinId="8" hidden="1"/>
    <cellStyle name="Hyperlink" xfId="6866" builtinId="8" hidden="1"/>
    <cellStyle name="Hyperlink" xfId="6868" builtinId="8" hidden="1"/>
    <cellStyle name="Hyperlink" xfId="6870" builtinId="8" hidden="1"/>
    <cellStyle name="Hyperlink" xfId="6872" builtinId="8" hidden="1"/>
    <cellStyle name="Hyperlink" xfId="6874" builtinId="8" hidden="1"/>
    <cellStyle name="Hyperlink" xfId="6876" builtinId="8" hidden="1"/>
    <cellStyle name="Hyperlink" xfId="6878" builtinId="8" hidden="1"/>
    <cellStyle name="Hyperlink" xfId="6880" builtinId="8" hidden="1"/>
    <cellStyle name="Hyperlink" xfId="6882" builtinId="8" hidden="1"/>
    <cellStyle name="Hyperlink" xfId="6884" builtinId="8" hidden="1"/>
    <cellStyle name="Hyperlink" xfId="6886" builtinId="8" hidden="1"/>
    <cellStyle name="Hyperlink" xfId="6888" builtinId="8" hidden="1"/>
    <cellStyle name="Hyperlink" xfId="6890" builtinId="8" hidden="1"/>
    <cellStyle name="Hyperlink" xfId="6892" builtinId="8" hidden="1"/>
    <cellStyle name="Hyperlink" xfId="6894" builtinId="8" hidden="1"/>
    <cellStyle name="Hyperlink" xfId="6896" builtinId="8" hidden="1"/>
    <cellStyle name="Hyperlink" xfId="6898" builtinId="8" hidden="1"/>
    <cellStyle name="Hyperlink" xfId="6900" builtinId="8" hidden="1"/>
    <cellStyle name="Hyperlink" xfId="6902" builtinId="8" hidden="1"/>
    <cellStyle name="Hyperlink" xfId="6904" builtinId="8" hidden="1"/>
    <cellStyle name="Hyperlink" xfId="6906" builtinId="8" hidden="1"/>
    <cellStyle name="Hyperlink" xfId="6908" builtinId="8" hidden="1"/>
    <cellStyle name="Hyperlink" xfId="6910" builtinId="8" hidden="1"/>
    <cellStyle name="Hyperlink" xfId="6912" builtinId="8" hidden="1"/>
    <cellStyle name="Hyperlink" xfId="6914" builtinId="8" hidden="1"/>
    <cellStyle name="Hyperlink" xfId="6916" builtinId="8" hidden="1"/>
    <cellStyle name="Hyperlink" xfId="6918" builtinId="8" hidden="1"/>
    <cellStyle name="Hyperlink" xfId="6920" builtinId="8" hidden="1"/>
    <cellStyle name="Hyperlink" xfId="6922" builtinId="8" hidden="1"/>
    <cellStyle name="Hyperlink" xfId="6924" builtinId="8" hidden="1"/>
    <cellStyle name="Hyperlink" xfId="6926" builtinId="8" hidden="1"/>
    <cellStyle name="Hyperlink" xfId="6928" builtinId="8" hidden="1"/>
    <cellStyle name="Hyperlink" xfId="6930" builtinId="8" hidden="1"/>
    <cellStyle name="Hyperlink" xfId="6932" builtinId="8" hidden="1"/>
    <cellStyle name="Hyperlink" xfId="6934" builtinId="8" hidden="1"/>
    <cellStyle name="Hyperlink" xfId="6936" builtinId="8" hidden="1"/>
    <cellStyle name="Hyperlink" xfId="6938" builtinId="8" hidden="1"/>
    <cellStyle name="Hyperlink" xfId="6940" builtinId="8" hidden="1"/>
    <cellStyle name="Hyperlink" xfId="6942" builtinId="8" hidden="1"/>
    <cellStyle name="Hyperlink" xfId="6944" builtinId="8" hidden="1"/>
    <cellStyle name="Hyperlink" xfId="6946" builtinId="8" hidden="1"/>
    <cellStyle name="Hyperlink" xfId="6948" builtinId="8" hidden="1"/>
    <cellStyle name="Hyperlink" xfId="6950" builtinId="8" hidden="1"/>
    <cellStyle name="Hyperlink" xfId="6952" builtinId="8" hidden="1"/>
    <cellStyle name="Hyperlink" xfId="6954" builtinId="8" hidden="1"/>
    <cellStyle name="Hyperlink" xfId="6956" builtinId="8" hidden="1"/>
    <cellStyle name="Hyperlink" xfId="6958" builtinId="8" hidden="1"/>
    <cellStyle name="Hyperlink" xfId="6960" builtinId="8" hidden="1"/>
    <cellStyle name="Hyperlink" xfId="6962" builtinId="8" hidden="1"/>
    <cellStyle name="Hyperlink" xfId="6964" builtinId="8" hidden="1"/>
    <cellStyle name="Hyperlink" xfId="6966" builtinId="8" hidden="1"/>
    <cellStyle name="Hyperlink" xfId="6968" builtinId="8" hidden="1"/>
    <cellStyle name="Hyperlink" xfId="6970" builtinId="8" hidden="1"/>
    <cellStyle name="Hyperlink" xfId="6972" builtinId="8" hidden="1"/>
    <cellStyle name="Hyperlink" xfId="6974" builtinId="8" hidden="1"/>
    <cellStyle name="Hyperlink" xfId="6976" builtinId="8" hidden="1"/>
    <cellStyle name="Hyperlink" xfId="6978" builtinId="8" hidden="1"/>
    <cellStyle name="Hyperlink" xfId="6980" builtinId="8" hidden="1"/>
    <cellStyle name="Hyperlink" xfId="6982" builtinId="8" hidden="1"/>
    <cellStyle name="Hyperlink" xfId="6984" builtinId="8" hidden="1"/>
    <cellStyle name="Hyperlink" xfId="6986" builtinId="8" hidden="1"/>
    <cellStyle name="Hyperlink" xfId="6988" builtinId="8" hidden="1"/>
    <cellStyle name="Hyperlink" xfId="6990" builtinId="8" hidden="1"/>
    <cellStyle name="Hyperlink" xfId="6992" builtinId="8" hidden="1"/>
    <cellStyle name="Hyperlink" xfId="6994" builtinId="8" hidden="1"/>
    <cellStyle name="Hyperlink" xfId="6996" builtinId="8" hidden="1"/>
    <cellStyle name="Hyperlink" xfId="6998" builtinId="8" hidden="1"/>
    <cellStyle name="Hyperlink" xfId="7000" builtinId="8" hidden="1"/>
    <cellStyle name="Hyperlink" xfId="7002" builtinId="8" hidden="1"/>
    <cellStyle name="Hyperlink" xfId="7004" builtinId="8" hidden="1"/>
    <cellStyle name="Hyperlink" xfId="7006" builtinId="8" hidden="1"/>
    <cellStyle name="Hyperlink" xfId="7008" builtinId="8" hidden="1"/>
    <cellStyle name="Hyperlink" xfId="7010" builtinId="8" hidden="1"/>
    <cellStyle name="Hyperlink" xfId="7012" builtinId="8" hidden="1"/>
    <cellStyle name="Hyperlink" xfId="7014" builtinId="8" hidden="1"/>
    <cellStyle name="Hyperlink" xfId="7016" builtinId="8" hidden="1"/>
    <cellStyle name="Hyperlink" xfId="7018" builtinId="8" hidden="1"/>
    <cellStyle name="Hyperlink" xfId="7020" builtinId="8" hidden="1"/>
    <cellStyle name="Hyperlink" xfId="7022" builtinId="8" hidden="1"/>
    <cellStyle name="Hyperlink" xfId="7024" builtinId="8" hidden="1"/>
    <cellStyle name="Hyperlink" xfId="7026" builtinId="8" hidden="1"/>
    <cellStyle name="Hyperlink" xfId="7028" builtinId="8" hidden="1"/>
    <cellStyle name="Hyperlink" xfId="7030" builtinId="8" hidden="1"/>
    <cellStyle name="Hyperlink" xfId="7032" builtinId="8" hidden="1"/>
    <cellStyle name="Hyperlink" xfId="7034" builtinId="8" hidden="1"/>
    <cellStyle name="Hyperlink" xfId="7036" builtinId="8" hidden="1"/>
    <cellStyle name="Hyperlink" xfId="7038" builtinId="8" hidden="1"/>
    <cellStyle name="Hyperlink" xfId="7040" builtinId="8" hidden="1"/>
    <cellStyle name="Hyperlink" xfId="7042" builtinId="8" hidden="1"/>
    <cellStyle name="Hyperlink" xfId="7044" builtinId="8" hidden="1"/>
    <cellStyle name="Hyperlink" xfId="7046" builtinId="8" hidden="1"/>
    <cellStyle name="Hyperlink" xfId="7048" builtinId="8" hidden="1"/>
    <cellStyle name="Hyperlink" xfId="7050" builtinId="8" hidden="1"/>
    <cellStyle name="Hyperlink" xfId="7052" builtinId="8" hidden="1"/>
    <cellStyle name="Hyperlink" xfId="7054" builtinId="8" hidden="1"/>
    <cellStyle name="Hyperlink" xfId="7056" builtinId="8" hidden="1"/>
    <cellStyle name="Hyperlink" xfId="7058" builtinId="8" hidden="1"/>
    <cellStyle name="Hyperlink" xfId="7060" builtinId="8" hidden="1"/>
    <cellStyle name="Hyperlink" xfId="7062" builtinId="8" hidden="1"/>
    <cellStyle name="Hyperlink" xfId="7064" builtinId="8" hidden="1"/>
    <cellStyle name="Hyperlink" xfId="7066" builtinId="8" hidden="1"/>
    <cellStyle name="Hyperlink" xfId="7068" builtinId="8" hidden="1"/>
    <cellStyle name="Hyperlink" xfId="7070" builtinId="8" hidden="1"/>
    <cellStyle name="Hyperlink" xfId="7072" builtinId="8" hidden="1"/>
    <cellStyle name="Hyperlink" xfId="7074" builtinId="8" hidden="1"/>
    <cellStyle name="Hyperlink" xfId="7076" builtinId="8" hidden="1"/>
    <cellStyle name="Hyperlink" xfId="7078" builtinId="8" hidden="1"/>
    <cellStyle name="Hyperlink" xfId="7080" builtinId="8" hidden="1"/>
    <cellStyle name="Hyperlink" xfId="7082" builtinId="8" hidden="1"/>
    <cellStyle name="Hyperlink" xfId="7084" builtinId="8" hidden="1"/>
    <cellStyle name="Hyperlink" xfId="7086" builtinId="8" hidden="1"/>
    <cellStyle name="Hyperlink" xfId="7088" builtinId="8" hidden="1"/>
    <cellStyle name="Hyperlink" xfId="7090" builtinId="8" hidden="1"/>
    <cellStyle name="Hyperlink" xfId="7092" builtinId="8" hidden="1"/>
    <cellStyle name="Hyperlink" xfId="7094" builtinId="8" hidden="1"/>
    <cellStyle name="Hyperlink" xfId="7096" builtinId="8" hidden="1"/>
    <cellStyle name="Hyperlink" xfId="7098" builtinId="8" hidden="1"/>
    <cellStyle name="Hyperlink" xfId="7100" builtinId="8" hidden="1"/>
    <cellStyle name="Hyperlink" xfId="7102" builtinId="8" hidden="1"/>
    <cellStyle name="Hyperlink" xfId="7104" builtinId="8" hidden="1"/>
    <cellStyle name="Hyperlink" xfId="7106" builtinId="8" hidden="1"/>
    <cellStyle name="Hyperlink" xfId="7108" builtinId="8" hidden="1"/>
    <cellStyle name="Hyperlink" xfId="7110" builtinId="8" hidden="1"/>
    <cellStyle name="Hyperlink" xfId="7112" builtinId="8" hidden="1"/>
    <cellStyle name="Hyperlink" xfId="7114" builtinId="8" hidden="1"/>
    <cellStyle name="Hyperlink" xfId="7116" builtinId="8" hidden="1"/>
    <cellStyle name="Hyperlink" xfId="7118" builtinId="8" hidden="1"/>
    <cellStyle name="Hyperlink" xfId="7120" builtinId="8" hidden="1"/>
    <cellStyle name="Hyperlink" xfId="7122" builtinId="8" hidden="1"/>
    <cellStyle name="Hyperlink" xfId="7124" builtinId="8" hidden="1"/>
    <cellStyle name="Hyperlink" xfId="7126" builtinId="8" hidden="1"/>
    <cellStyle name="Hyperlink" xfId="7128" builtinId="8" hidden="1"/>
    <cellStyle name="Hyperlink" xfId="7130" builtinId="8" hidden="1"/>
    <cellStyle name="Hyperlink" xfId="7132" builtinId="8" hidden="1"/>
    <cellStyle name="Hyperlink" xfId="7134" builtinId="8" hidden="1"/>
    <cellStyle name="Hyperlink" xfId="7136" builtinId="8" hidden="1"/>
    <cellStyle name="Hyperlink" xfId="7138" builtinId="8" hidden="1"/>
    <cellStyle name="Hyperlink" xfId="7140" builtinId="8" hidden="1"/>
    <cellStyle name="Hyperlink" xfId="7142" builtinId="8" hidden="1"/>
    <cellStyle name="Hyperlink" xfId="7144" builtinId="8" hidden="1"/>
    <cellStyle name="Hyperlink" xfId="7146" builtinId="8" hidden="1"/>
    <cellStyle name="Hyperlink" xfId="7148" builtinId="8" hidden="1"/>
    <cellStyle name="Hyperlink" xfId="7150" builtinId="8" hidden="1"/>
    <cellStyle name="Hyperlink" xfId="7152" builtinId="8" hidden="1"/>
    <cellStyle name="Hyperlink" xfId="7154" builtinId="8" hidden="1"/>
    <cellStyle name="Hyperlink" xfId="7156" builtinId="8" hidden="1"/>
    <cellStyle name="Hyperlink" xfId="7158" builtinId="8" hidden="1"/>
    <cellStyle name="Hyperlink" xfId="7160" builtinId="8" hidden="1"/>
    <cellStyle name="Hyperlink" xfId="7162" builtinId="8" hidden="1"/>
    <cellStyle name="Hyperlink" xfId="7164" builtinId="8" hidden="1"/>
    <cellStyle name="Hyperlink" xfId="7166" builtinId="8" hidden="1"/>
    <cellStyle name="Hyperlink" xfId="7168" builtinId="8" hidden="1"/>
    <cellStyle name="Hyperlink" xfId="7170" builtinId="8" hidden="1"/>
    <cellStyle name="Hyperlink" xfId="7172" builtinId="8" hidden="1"/>
    <cellStyle name="Hyperlink" xfId="7174" builtinId="8" hidden="1"/>
    <cellStyle name="Hyperlink" xfId="7176" builtinId="8" hidden="1"/>
    <cellStyle name="Hyperlink" xfId="7178" builtinId="8" hidden="1"/>
    <cellStyle name="Hyperlink" xfId="7180" builtinId="8" hidden="1"/>
    <cellStyle name="Hyperlink" xfId="7182" builtinId="8" hidden="1"/>
    <cellStyle name="Hyperlink" xfId="7184" builtinId="8" hidden="1"/>
    <cellStyle name="Hyperlink" xfId="7186" builtinId="8" hidden="1"/>
    <cellStyle name="Hyperlink" xfId="7188" builtinId="8" hidden="1"/>
    <cellStyle name="Hyperlink" xfId="7190" builtinId="8" hidden="1"/>
    <cellStyle name="Hyperlink" xfId="7192" builtinId="8" hidden="1"/>
    <cellStyle name="Hyperlink" xfId="7194" builtinId="8" hidden="1"/>
    <cellStyle name="Hyperlink" xfId="7196" builtinId="8" hidden="1"/>
    <cellStyle name="Hyperlink" xfId="7198" builtinId="8" hidden="1"/>
    <cellStyle name="Hyperlink" xfId="7200" builtinId="8" hidden="1"/>
    <cellStyle name="Hyperlink" xfId="7202" builtinId="8" hidden="1"/>
    <cellStyle name="Hyperlink" xfId="7204" builtinId="8" hidden="1"/>
    <cellStyle name="Hyperlink" xfId="7206" builtinId="8" hidden="1"/>
    <cellStyle name="Hyperlink" xfId="7208" builtinId="8" hidden="1"/>
    <cellStyle name="Hyperlink" xfId="7210" builtinId="8" hidden="1"/>
    <cellStyle name="Hyperlink" xfId="7212" builtinId="8" hidden="1"/>
    <cellStyle name="Hyperlink" xfId="7214" builtinId="8" hidden="1"/>
    <cellStyle name="Hyperlink" xfId="7216" builtinId="8" hidden="1"/>
    <cellStyle name="Hyperlink" xfId="7218" builtinId="8" hidden="1"/>
    <cellStyle name="Hyperlink" xfId="7220" builtinId="8" hidden="1"/>
    <cellStyle name="Hyperlink" xfId="7222" builtinId="8" hidden="1"/>
    <cellStyle name="Hyperlink" xfId="7224" builtinId="8" hidden="1"/>
    <cellStyle name="Hyperlink" xfId="7226" builtinId="8" hidden="1"/>
    <cellStyle name="Hyperlink" xfId="7228" builtinId="8" hidden="1"/>
    <cellStyle name="Hyperlink" xfId="7230" builtinId="8" hidden="1"/>
    <cellStyle name="Hyperlink" xfId="7232" builtinId="8" hidden="1"/>
    <cellStyle name="Hyperlink" xfId="7234" builtinId="8" hidden="1"/>
    <cellStyle name="Hyperlink" xfId="7236" builtinId="8" hidden="1"/>
    <cellStyle name="Hyperlink" xfId="7238" builtinId="8" hidden="1"/>
    <cellStyle name="Hyperlink" xfId="7240" builtinId="8" hidden="1"/>
    <cellStyle name="Hyperlink" xfId="7242" builtinId="8" hidden="1"/>
    <cellStyle name="Hyperlink" xfId="7244" builtinId="8" hidden="1"/>
    <cellStyle name="Hyperlink" xfId="7246" builtinId="8" hidden="1"/>
    <cellStyle name="Hyperlink" xfId="7248" builtinId="8" hidden="1"/>
    <cellStyle name="Hyperlink" xfId="7250" builtinId="8" hidden="1"/>
    <cellStyle name="Hyperlink" xfId="7252" builtinId="8" hidden="1"/>
    <cellStyle name="Hyperlink" xfId="7254" builtinId="8" hidden="1"/>
    <cellStyle name="Hyperlink" xfId="7256" builtinId="8" hidden="1"/>
    <cellStyle name="Hyperlink" xfId="7258" builtinId="8" hidden="1"/>
    <cellStyle name="Hyperlink" xfId="7260" builtinId="8" hidden="1"/>
    <cellStyle name="Hyperlink" xfId="7262" builtinId="8" hidden="1"/>
    <cellStyle name="Normal" xfId="0" builtinId="0"/>
    <cellStyle name="Normal 2" xfId="145"/>
    <cellStyle name="Note 2" xfId="146"/>
    <cellStyle name="Standard_Tabelle1" xfId="116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A1:FD276"/>
  <sheetViews>
    <sheetView tabSelected="1" zoomScaleNormal="100" zoomScalePageLayoutView="125" workbookViewId="0">
      <pane xSplit="2" ySplit="2" topLeftCell="C3" activePane="bottomRight" state="frozen"/>
      <selection pane="topRight" activeCell="B1" sqref="B1"/>
      <selection pane="bottomLeft" activeCell="A5" sqref="A5"/>
      <selection pane="bottomRight"/>
    </sheetView>
  </sheetViews>
  <sheetFormatPr defaultColWidth="10.875" defaultRowHeight="17.100000000000001" customHeight="1"/>
  <cols>
    <col min="1" max="1" width="10.5" style="105" customWidth="1"/>
    <col min="2" max="2" width="26.5" style="63" customWidth="1"/>
    <col min="3" max="3" width="36.375" style="63" customWidth="1"/>
    <col min="4" max="4" width="10.875" style="64"/>
    <col min="5" max="5" width="11" style="64" bestFit="1" customWidth="1"/>
    <col min="6" max="7" width="10.875" style="63"/>
    <col min="8" max="8" width="11" style="64" bestFit="1" customWidth="1"/>
    <col min="9" max="9" width="10.875" style="64"/>
    <col min="10" max="12" width="10.875" style="63"/>
    <col min="13" max="13" width="15.625" style="65" customWidth="1"/>
    <col min="14" max="14" width="15.625" style="63" customWidth="1"/>
    <col min="15" max="15" width="10.875" style="63"/>
    <col min="16" max="16" width="10.875" style="64"/>
    <col min="17" max="18" width="10.875" style="63"/>
    <col min="19" max="19" width="19.125" style="63" customWidth="1"/>
    <col min="20" max="21" width="11" style="63" bestFit="1" customWidth="1"/>
    <col min="22" max="24" width="11" style="64" bestFit="1" customWidth="1"/>
    <col min="25" max="25" width="10.875" style="64"/>
    <col min="26" max="26" width="10.875" style="66"/>
    <col min="27" max="27" width="10.875" style="65"/>
    <col min="28" max="28" width="14" style="63" customWidth="1"/>
    <col min="29" max="29" width="16.125" style="63" customWidth="1"/>
    <col min="30" max="31" width="10.875" style="63"/>
    <col min="32" max="33" width="20.875" style="63" customWidth="1"/>
    <col min="34" max="34" width="12.875" style="63" customWidth="1"/>
    <col min="35" max="35" width="19.125" style="63" customWidth="1"/>
    <col min="36" max="36" width="11.625" style="67" customWidth="1"/>
    <col min="37" max="38" width="10.125" style="67" customWidth="1"/>
    <col min="39" max="39" width="8.625" style="64" customWidth="1"/>
    <col min="40" max="40" width="9.625" style="64" customWidth="1"/>
    <col min="41" max="41" width="10.375" style="64" customWidth="1"/>
    <col min="42" max="42" width="10.875" style="68"/>
    <col min="43" max="43" width="12.375" style="63" customWidth="1"/>
    <col min="44" max="44" width="8" style="67" customWidth="1"/>
    <col min="45" max="45" width="9.5" style="67" customWidth="1"/>
    <col min="46" max="46" width="8.125" style="67" customWidth="1"/>
    <col min="47" max="47" width="11" style="69" bestFit="1" customWidth="1"/>
    <col min="48" max="48" width="11" style="70" bestFit="1" customWidth="1"/>
    <col min="49" max="49" width="19.125" style="63" customWidth="1"/>
    <col min="50" max="50" width="10.875" style="63"/>
    <col min="51" max="51" width="11" style="67" bestFit="1" customWidth="1"/>
    <col min="52" max="52" width="10.875" style="67" customWidth="1"/>
    <col min="53" max="53" width="8.875" style="67" customWidth="1"/>
    <col min="54" max="54" width="8.625" style="67" customWidth="1"/>
    <col min="55" max="55" width="6" style="63" customWidth="1"/>
    <col min="56" max="56" width="8.5" style="65" customWidth="1"/>
    <col min="57" max="57" width="10.875" style="63"/>
    <col min="58" max="58" width="6.875" style="65" customWidth="1"/>
    <col min="59" max="59" width="8" style="63" customWidth="1"/>
    <col min="60" max="60" width="8.125" style="63" customWidth="1"/>
    <col min="61" max="61" width="9.5" style="64" customWidth="1"/>
    <col min="62" max="62" width="9.375" style="71" customWidth="1"/>
    <col min="63" max="63" width="11.875" style="64" customWidth="1"/>
    <col min="64" max="64" width="8.5" style="64" customWidth="1"/>
    <col min="65" max="65" width="10" style="65" customWidth="1"/>
    <col min="66" max="66" width="10.875" style="63" customWidth="1"/>
    <col min="67" max="67" width="7.375" style="63" customWidth="1"/>
    <col min="68" max="68" width="7.625" style="63" customWidth="1"/>
    <col min="69" max="69" width="11.5" style="63" customWidth="1"/>
    <col min="70" max="70" width="17.375" style="63" customWidth="1"/>
    <col min="71" max="71" width="15" style="63" customWidth="1"/>
    <col min="72" max="72" width="11.625" style="63" bestFit="1" customWidth="1"/>
    <col min="73" max="73" width="11.625" style="69" bestFit="1" customWidth="1"/>
    <col min="74" max="75" width="11.125" style="69" bestFit="1" customWidth="1"/>
    <col min="76" max="77" width="11" style="67" bestFit="1" customWidth="1"/>
    <col min="78" max="78" width="18.625" style="63" customWidth="1"/>
    <col min="79" max="79" width="22.125" style="63" customWidth="1"/>
    <col min="80" max="80" width="10.875" style="63"/>
    <col min="81" max="81" width="11.875" style="69" bestFit="1" customWidth="1"/>
    <col min="82" max="83" width="11" style="69" bestFit="1" customWidth="1"/>
    <col min="84" max="84" width="11.125" style="67" bestFit="1" customWidth="1"/>
    <col min="85" max="85" width="11" style="67" bestFit="1" customWidth="1"/>
    <col min="86" max="86" width="10.875" style="63"/>
    <col min="87" max="87" width="21.625" style="63" customWidth="1"/>
    <col min="88" max="88" width="10.875" style="63"/>
    <col min="89" max="93" width="11" style="67" bestFit="1" customWidth="1"/>
    <col min="94" max="96" width="10.875" style="63"/>
    <col min="97" max="98" width="11" style="67" bestFit="1" customWidth="1"/>
    <col min="99" max="99" width="11.625" style="67" bestFit="1" customWidth="1"/>
    <col min="100" max="101" width="11" style="67" bestFit="1" customWidth="1"/>
    <col min="102" max="102" width="10.875" style="63"/>
    <col min="103" max="103" width="18.625" style="63" customWidth="1"/>
    <col min="104" max="104" width="10.875" style="63"/>
    <col min="105" max="105" width="11.625" style="63" bestFit="1" customWidth="1"/>
    <col min="106" max="106" width="11" style="63" bestFit="1" customWidth="1"/>
    <col min="107" max="107" width="11.625" style="63" bestFit="1" customWidth="1"/>
    <col min="108" max="109" width="11" style="63" bestFit="1" customWidth="1"/>
    <col min="110" max="110" width="10.875" style="63"/>
    <col min="111" max="111" width="19.375" style="63" customWidth="1"/>
    <col min="112" max="112" width="10.875" style="63"/>
    <col min="113" max="113" width="11.625" style="63" bestFit="1" customWidth="1"/>
    <col min="114" max="114" width="11" style="63" bestFit="1" customWidth="1"/>
    <col min="115" max="115" width="11.625" style="63" bestFit="1" customWidth="1"/>
    <col min="116" max="117" width="11" style="63" bestFit="1" customWidth="1"/>
    <col min="118" max="118" width="10.875" style="63"/>
    <col min="119" max="119" width="18.625" style="63" customWidth="1"/>
    <col min="120" max="120" width="10.875" style="63"/>
    <col min="121" max="121" width="11.625" style="63" bestFit="1" customWidth="1"/>
    <col min="122" max="122" width="11" style="63" bestFit="1" customWidth="1"/>
    <col min="123" max="123" width="11.625" style="63" bestFit="1" customWidth="1"/>
    <col min="124" max="125" width="11" style="63" bestFit="1" customWidth="1"/>
    <col min="126" max="126" width="10.875" style="63"/>
    <col min="127" max="127" width="18.875" style="63" customWidth="1"/>
    <col min="128" max="128" width="10.875" style="63"/>
    <col min="129" max="130" width="11" style="67" bestFit="1" customWidth="1"/>
    <col min="131" max="131" width="11.625" style="67" bestFit="1" customWidth="1"/>
    <col min="132" max="133" width="11" style="67" bestFit="1" customWidth="1"/>
    <col min="134" max="136" width="10.875" style="63"/>
    <col min="137" max="141" width="11" style="67" bestFit="1" customWidth="1"/>
    <col min="142" max="143" width="10.875" style="63"/>
    <col min="144" max="155" width="11" style="67" bestFit="1" customWidth="1"/>
    <col min="156" max="158" width="11" style="65" bestFit="1" customWidth="1"/>
    <col min="159" max="159" width="10.875" style="63"/>
    <col min="160" max="160" width="11" style="63" bestFit="1" customWidth="1"/>
    <col min="161" max="16384" width="10.875" style="63"/>
  </cols>
  <sheetData>
    <row r="1" spans="1:159" ht="23.25">
      <c r="A1" s="62" t="s">
        <v>2338</v>
      </c>
    </row>
    <row r="2" spans="1:159" ht="69" customHeight="1">
      <c r="A2" s="65" t="s">
        <v>1733</v>
      </c>
      <c r="B2" s="63" t="s">
        <v>1640</v>
      </c>
      <c r="D2" s="63" t="s">
        <v>1639</v>
      </c>
      <c r="E2" s="63" t="s">
        <v>33</v>
      </c>
      <c r="F2" s="63" t="s">
        <v>34</v>
      </c>
      <c r="G2" s="63" t="s">
        <v>32</v>
      </c>
      <c r="H2" s="63" t="s">
        <v>31</v>
      </c>
      <c r="I2" s="63" t="s">
        <v>30</v>
      </c>
      <c r="J2" s="63" t="s">
        <v>1641</v>
      </c>
      <c r="K2" s="63" t="s">
        <v>54</v>
      </c>
      <c r="L2" s="63" t="s">
        <v>1636</v>
      </c>
      <c r="M2" s="65" t="s">
        <v>1637</v>
      </c>
      <c r="N2" s="63" t="s">
        <v>1642</v>
      </c>
      <c r="O2" s="63" t="s">
        <v>1683</v>
      </c>
      <c r="P2" s="72" t="s">
        <v>29</v>
      </c>
      <c r="Q2" s="72" t="s">
        <v>28</v>
      </c>
      <c r="R2" s="72" t="s">
        <v>27</v>
      </c>
      <c r="S2" s="72" t="s">
        <v>1643</v>
      </c>
      <c r="T2" s="72" t="s">
        <v>1646</v>
      </c>
      <c r="U2" s="72" t="s">
        <v>1645</v>
      </c>
      <c r="V2" s="72" t="s">
        <v>1644</v>
      </c>
      <c r="W2" s="72" t="s">
        <v>2188</v>
      </c>
      <c r="X2" s="72" t="s">
        <v>1647</v>
      </c>
      <c r="Y2" s="73" t="s">
        <v>1989</v>
      </c>
      <c r="Z2" s="66" t="s">
        <v>2200</v>
      </c>
      <c r="AA2" s="73" t="s">
        <v>1635</v>
      </c>
      <c r="AB2" s="72" t="s">
        <v>1648</v>
      </c>
      <c r="AC2" s="72" t="s">
        <v>1649</v>
      </c>
      <c r="AD2" s="72" t="s">
        <v>1650</v>
      </c>
      <c r="AE2" s="72" t="s">
        <v>1682</v>
      </c>
      <c r="AF2" s="63" t="s">
        <v>1651</v>
      </c>
      <c r="AG2" s="63" t="s">
        <v>1652</v>
      </c>
      <c r="AH2" s="63" t="s">
        <v>1653</v>
      </c>
      <c r="AI2" s="63" t="s">
        <v>1654</v>
      </c>
      <c r="AJ2" s="63" t="s">
        <v>1655</v>
      </c>
      <c r="AK2" s="63" t="s">
        <v>1656</v>
      </c>
      <c r="AL2" s="63" t="s">
        <v>1657</v>
      </c>
      <c r="AM2" s="63" t="s">
        <v>1658</v>
      </c>
      <c r="AN2" s="63" t="s">
        <v>1659</v>
      </c>
      <c r="AO2" s="65" t="s">
        <v>1660</v>
      </c>
      <c r="AP2" s="74" t="s">
        <v>2226</v>
      </c>
      <c r="AQ2" s="63" t="s">
        <v>1634</v>
      </c>
      <c r="AR2" s="63" t="s">
        <v>1661</v>
      </c>
      <c r="AS2" s="63" t="s">
        <v>1665</v>
      </c>
      <c r="AT2" s="63" t="s">
        <v>1666</v>
      </c>
      <c r="AU2" s="71" t="s">
        <v>1662</v>
      </c>
      <c r="AV2" s="75" t="s">
        <v>1638</v>
      </c>
      <c r="AW2" s="63" t="s">
        <v>1681</v>
      </c>
      <c r="AX2" s="63" t="s">
        <v>36</v>
      </c>
      <c r="AY2" s="63" t="s">
        <v>1663</v>
      </c>
      <c r="AZ2" s="63" t="s">
        <v>1664</v>
      </c>
      <c r="BA2" s="63" t="s">
        <v>1667</v>
      </c>
      <c r="BB2" s="63" t="s">
        <v>1668</v>
      </c>
      <c r="BC2" s="63" t="s">
        <v>1680</v>
      </c>
      <c r="BD2" s="65" t="s">
        <v>79</v>
      </c>
      <c r="BE2" s="63" t="s">
        <v>25</v>
      </c>
      <c r="BF2" s="65" t="s">
        <v>26</v>
      </c>
      <c r="BG2" s="63" t="s">
        <v>1669</v>
      </c>
      <c r="BH2" s="63" t="s">
        <v>1670</v>
      </c>
      <c r="BI2" s="63" t="s">
        <v>1671</v>
      </c>
      <c r="BJ2" s="71" t="s">
        <v>1673</v>
      </c>
      <c r="BK2" s="63" t="s">
        <v>1672</v>
      </c>
      <c r="BL2" s="63" t="s">
        <v>1675</v>
      </c>
      <c r="BM2" s="65" t="s">
        <v>1674</v>
      </c>
      <c r="BN2" s="63" t="s">
        <v>1676</v>
      </c>
      <c r="BO2" s="63" t="s">
        <v>1677</v>
      </c>
      <c r="BP2" s="63" t="s">
        <v>1678</v>
      </c>
      <c r="BQ2" s="63" t="s">
        <v>2331</v>
      </c>
      <c r="BR2" s="63" t="s">
        <v>1679</v>
      </c>
      <c r="BS2" s="63" t="s">
        <v>2122</v>
      </c>
      <c r="BT2" s="76" t="s">
        <v>1690</v>
      </c>
      <c r="BU2" s="71" t="s">
        <v>1689</v>
      </c>
      <c r="BV2" s="71" t="s">
        <v>1688</v>
      </c>
      <c r="BW2" s="71" t="s">
        <v>1734</v>
      </c>
      <c r="BX2" s="63" t="s">
        <v>1687</v>
      </c>
      <c r="BY2" s="63" t="s">
        <v>1686</v>
      </c>
      <c r="BZ2" s="63" t="s">
        <v>1685</v>
      </c>
      <c r="CA2" s="63" t="s">
        <v>1684</v>
      </c>
      <c r="CB2" s="76" t="s">
        <v>1723</v>
      </c>
      <c r="CC2" s="71" t="s">
        <v>1691</v>
      </c>
      <c r="CD2" s="71" t="s">
        <v>1692</v>
      </c>
      <c r="CE2" s="71" t="s">
        <v>1735</v>
      </c>
      <c r="CF2" s="63" t="s">
        <v>1693</v>
      </c>
      <c r="CG2" s="63" t="s">
        <v>1694</v>
      </c>
      <c r="CH2" s="63" t="s">
        <v>1695</v>
      </c>
      <c r="CI2" s="63" t="s">
        <v>1696</v>
      </c>
      <c r="CJ2" s="76" t="s">
        <v>1697</v>
      </c>
      <c r="CK2" s="77" t="s">
        <v>1722</v>
      </c>
      <c r="CL2" s="63" t="s">
        <v>1698</v>
      </c>
      <c r="CM2" s="63" t="s">
        <v>1736</v>
      </c>
      <c r="CN2" s="63" t="s">
        <v>1861</v>
      </c>
      <c r="CO2" s="63" t="s">
        <v>1862</v>
      </c>
      <c r="CP2" s="63" t="s">
        <v>1699</v>
      </c>
      <c r="CQ2" s="63" t="s">
        <v>1700</v>
      </c>
      <c r="CR2" s="76" t="s">
        <v>1701</v>
      </c>
      <c r="CS2" s="63" t="s">
        <v>1721</v>
      </c>
      <c r="CT2" s="63" t="s">
        <v>1702</v>
      </c>
      <c r="CU2" s="63" t="s">
        <v>1737</v>
      </c>
      <c r="CV2" s="63" t="s">
        <v>1863</v>
      </c>
      <c r="CW2" s="63" t="s">
        <v>1864</v>
      </c>
      <c r="CX2" s="63" t="s">
        <v>1703</v>
      </c>
      <c r="CY2" s="63" t="s">
        <v>1704</v>
      </c>
      <c r="CZ2" s="63" t="s">
        <v>1705</v>
      </c>
      <c r="DA2" s="63" t="s">
        <v>1720</v>
      </c>
      <c r="DB2" s="63" t="s">
        <v>1706</v>
      </c>
      <c r="DC2" s="63" t="s">
        <v>1738</v>
      </c>
      <c r="DD2" s="63" t="s">
        <v>1865</v>
      </c>
      <c r="DE2" s="63" t="s">
        <v>1866</v>
      </c>
      <c r="DF2" s="63" t="s">
        <v>1707</v>
      </c>
      <c r="DG2" s="63" t="s">
        <v>1708</v>
      </c>
      <c r="DH2" s="76" t="s">
        <v>1709</v>
      </c>
      <c r="DI2" s="63" t="s">
        <v>1719</v>
      </c>
      <c r="DJ2" s="63" t="s">
        <v>1710</v>
      </c>
      <c r="DK2" s="63" t="s">
        <v>1739</v>
      </c>
      <c r="DL2" s="63" t="s">
        <v>1867</v>
      </c>
      <c r="DM2" s="63" t="s">
        <v>1868</v>
      </c>
      <c r="DN2" s="63" t="s">
        <v>1711</v>
      </c>
      <c r="DO2" s="63" t="s">
        <v>1712</v>
      </c>
      <c r="DP2" s="76" t="s">
        <v>1713</v>
      </c>
      <c r="DQ2" s="63" t="s">
        <v>1718</v>
      </c>
      <c r="DR2" s="63" t="s">
        <v>1714</v>
      </c>
      <c r="DS2" s="63" t="s">
        <v>1740</v>
      </c>
      <c r="DT2" s="63" t="s">
        <v>1869</v>
      </c>
      <c r="DU2" s="63" t="s">
        <v>1870</v>
      </c>
      <c r="DV2" s="63" t="s">
        <v>1715</v>
      </c>
      <c r="DW2" s="63" t="s">
        <v>1716</v>
      </c>
      <c r="DX2" s="76" t="s">
        <v>1717</v>
      </c>
      <c r="DY2" s="67" t="s">
        <v>1724</v>
      </c>
      <c r="DZ2" s="67" t="s">
        <v>1725</v>
      </c>
      <c r="EA2" s="67" t="s">
        <v>1741</v>
      </c>
      <c r="EB2" s="67" t="s">
        <v>1871</v>
      </c>
      <c r="EC2" s="67" t="s">
        <v>1872</v>
      </c>
      <c r="ED2" s="63" t="s">
        <v>1726</v>
      </c>
      <c r="EE2" s="63" t="s">
        <v>1727</v>
      </c>
      <c r="EF2" s="76" t="s">
        <v>1728</v>
      </c>
      <c r="EG2" s="67" t="s">
        <v>1729</v>
      </c>
      <c r="EH2" s="67" t="s">
        <v>1730</v>
      </c>
      <c r="EI2" s="67" t="s">
        <v>1742</v>
      </c>
      <c r="EJ2" s="67" t="s">
        <v>1873</v>
      </c>
      <c r="EK2" s="67" t="s">
        <v>1874</v>
      </c>
      <c r="EL2" s="63" t="s">
        <v>1731</v>
      </c>
      <c r="EM2" s="63" t="s">
        <v>1732</v>
      </c>
      <c r="EN2" s="63" t="s">
        <v>1875</v>
      </c>
      <c r="EO2" s="63" t="s">
        <v>1876</v>
      </c>
      <c r="EP2" s="63" t="s">
        <v>1877</v>
      </c>
      <c r="EQ2" s="63" t="s">
        <v>1881</v>
      </c>
      <c r="ER2" s="63" t="s">
        <v>1878</v>
      </c>
      <c r="ES2" s="63" t="s">
        <v>1879</v>
      </c>
      <c r="ET2" s="63" t="s">
        <v>1880</v>
      </c>
      <c r="EU2" s="63" t="s">
        <v>1882</v>
      </c>
      <c r="EV2" s="63" t="s">
        <v>1884</v>
      </c>
      <c r="EW2" s="63" t="s">
        <v>1883</v>
      </c>
      <c r="EX2" s="63" t="s">
        <v>1886</v>
      </c>
      <c r="EY2" s="63" t="s">
        <v>1885</v>
      </c>
      <c r="EZ2" s="65" t="s">
        <v>1887</v>
      </c>
      <c r="FA2" s="65" t="s">
        <v>1888</v>
      </c>
      <c r="FB2" s="65" t="s">
        <v>2106</v>
      </c>
      <c r="FC2" s="63" t="s">
        <v>35</v>
      </c>
    </row>
    <row r="3" spans="1:159" s="82" customFormat="1" ht="78" customHeight="1">
      <c r="A3" s="78" t="s">
        <v>1829</v>
      </c>
      <c r="B3" s="79" t="s">
        <v>1413</v>
      </c>
      <c r="C3" s="80" t="str">
        <f>(D3&amp;" "&amp;E3&amp;".  "&amp;F3&amp;". "&amp;G3&amp;". "&amp;H3&amp;": "&amp;I3&amp;".")</f>
        <v>Abbott, I., Heurck, P. V., &amp; Wong, L.  1984.  Responses to long-term fire exclusion: physical,
chemical and faunal features of litter and soil in
a Western Australian forest. Australian Forestry. 47: 237-242.</v>
      </c>
      <c r="D3" s="81" t="s">
        <v>1495</v>
      </c>
      <c r="E3" s="81" t="s">
        <v>426</v>
      </c>
      <c r="F3" s="79" t="s">
        <v>427</v>
      </c>
      <c r="G3" s="79" t="s">
        <v>428</v>
      </c>
      <c r="H3" s="81">
        <v>47</v>
      </c>
      <c r="I3" s="81" t="s">
        <v>429</v>
      </c>
      <c r="K3" s="82" t="s">
        <v>430</v>
      </c>
      <c r="L3" s="82" t="s">
        <v>101</v>
      </c>
      <c r="M3" s="83" t="s">
        <v>73</v>
      </c>
      <c r="N3" s="82" t="s">
        <v>389</v>
      </c>
      <c r="P3" s="84" t="s">
        <v>162</v>
      </c>
      <c r="Q3" s="82" t="s">
        <v>431</v>
      </c>
      <c r="R3" s="82" t="s">
        <v>440</v>
      </c>
      <c r="T3" s="82" t="s">
        <v>432</v>
      </c>
      <c r="U3" s="82" t="s">
        <v>433</v>
      </c>
      <c r="V3" s="84">
        <v>-32.329999999999984</v>
      </c>
      <c r="W3" s="84">
        <v>116.83000000000001</v>
      </c>
      <c r="X3" s="84"/>
      <c r="Y3" s="85" t="s">
        <v>1894</v>
      </c>
      <c r="Z3" s="66" t="s">
        <v>2201</v>
      </c>
      <c r="AA3" s="83" t="s">
        <v>555</v>
      </c>
      <c r="AB3" s="82" t="s">
        <v>103</v>
      </c>
      <c r="AC3" s="79" t="s">
        <v>103</v>
      </c>
      <c r="AD3" s="82" t="s">
        <v>434</v>
      </c>
      <c r="AF3" s="82" t="s">
        <v>64</v>
      </c>
      <c r="AG3" s="82" t="s">
        <v>92</v>
      </c>
      <c r="AH3" s="82" t="s">
        <v>106</v>
      </c>
      <c r="AI3" s="82" t="s">
        <v>272</v>
      </c>
      <c r="AJ3" s="86">
        <v>1</v>
      </c>
      <c r="AK3" s="86">
        <v>17</v>
      </c>
      <c r="AL3" s="86">
        <v>17</v>
      </c>
      <c r="AM3" s="84" t="s">
        <v>435</v>
      </c>
      <c r="AN3" s="84" t="s">
        <v>64</v>
      </c>
      <c r="AO3" s="84" t="s">
        <v>64</v>
      </c>
      <c r="AP3" s="68" t="s">
        <v>64</v>
      </c>
      <c r="AQ3" s="82" t="s">
        <v>88</v>
      </c>
      <c r="AR3" s="86">
        <v>1</v>
      </c>
      <c r="AS3" s="86">
        <v>10</v>
      </c>
      <c r="AT3" s="86"/>
      <c r="AU3" s="87">
        <v>42</v>
      </c>
      <c r="AV3" s="88">
        <v>0.40476190476190477</v>
      </c>
      <c r="AX3" s="82" t="s">
        <v>80</v>
      </c>
      <c r="AY3" s="86">
        <v>1</v>
      </c>
      <c r="AZ3" s="86">
        <v>1</v>
      </c>
      <c r="BA3" s="86" t="s">
        <v>226</v>
      </c>
      <c r="BB3" s="86"/>
      <c r="BD3" s="83" t="s">
        <v>124</v>
      </c>
      <c r="BE3" s="82" t="s">
        <v>182</v>
      </c>
      <c r="BF3" s="83" t="s">
        <v>110</v>
      </c>
      <c r="BG3" s="82" t="s">
        <v>21</v>
      </c>
      <c r="BH3" s="82" t="s">
        <v>438</v>
      </c>
      <c r="BI3" s="84" t="s">
        <v>365</v>
      </c>
      <c r="BJ3" s="89">
        <f t="shared" ref="BJ3:BJ8" si="0">BK3/12</f>
        <v>42</v>
      </c>
      <c r="BK3" s="84" t="s">
        <v>436</v>
      </c>
      <c r="BL3" s="84" t="s">
        <v>439</v>
      </c>
      <c r="BM3" s="88">
        <v>0.75</v>
      </c>
      <c r="BN3" s="82" t="s">
        <v>379</v>
      </c>
      <c r="BO3" s="82" t="s">
        <v>342</v>
      </c>
      <c r="BP3" s="82" t="s">
        <v>64</v>
      </c>
      <c r="BR3" s="82" t="s">
        <v>437</v>
      </c>
      <c r="BS3" s="82" t="s">
        <v>2182</v>
      </c>
      <c r="BT3" s="82" t="s">
        <v>1235</v>
      </c>
      <c r="BU3" s="86">
        <v>7.5</v>
      </c>
      <c r="BV3" s="86">
        <v>2.1</v>
      </c>
      <c r="BW3" s="86">
        <v>3.39</v>
      </c>
      <c r="BX3" s="86">
        <v>10</v>
      </c>
      <c r="BY3" s="86">
        <v>10</v>
      </c>
      <c r="BZ3" s="82" t="s">
        <v>216</v>
      </c>
      <c r="CA3" s="82" t="s">
        <v>1377</v>
      </c>
      <c r="CB3" s="82" t="s">
        <v>80</v>
      </c>
      <c r="CC3" s="86">
        <v>4.5999999999999996</v>
      </c>
      <c r="CD3" s="86">
        <v>1</v>
      </c>
      <c r="CE3" s="86">
        <v>1.61</v>
      </c>
      <c r="CF3" s="86">
        <v>10</v>
      </c>
      <c r="CG3" s="86">
        <v>10</v>
      </c>
      <c r="CH3" s="82" t="s">
        <v>216</v>
      </c>
      <c r="CI3" s="82" t="s">
        <v>1377</v>
      </c>
      <c r="CK3" s="86"/>
      <c r="CL3" s="86"/>
      <c r="CM3" s="86"/>
      <c r="CN3" s="86"/>
      <c r="CO3" s="86"/>
      <c r="CS3" s="86"/>
      <c r="CT3" s="86"/>
      <c r="CU3" s="86"/>
      <c r="CV3" s="86"/>
      <c r="CW3" s="86"/>
      <c r="DY3" s="86"/>
      <c r="DZ3" s="86"/>
      <c r="EA3" s="86"/>
      <c r="EB3" s="86"/>
      <c r="EC3" s="86"/>
      <c r="EG3" s="86"/>
      <c r="EH3" s="86"/>
      <c r="EI3" s="86"/>
      <c r="EJ3" s="86"/>
      <c r="EK3" s="86"/>
      <c r="EN3" s="86">
        <f>BU3</f>
        <v>7.5</v>
      </c>
      <c r="EO3" s="90">
        <f t="shared" ref="EO3:EQ6" si="1">BW3</f>
        <v>3.39</v>
      </c>
      <c r="EP3" s="86">
        <f t="shared" si="1"/>
        <v>10</v>
      </c>
      <c r="EQ3" s="86">
        <f t="shared" si="1"/>
        <v>10</v>
      </c>
      <c r="ER3" s="86">
        <f>CC3</f>
        <v>4.5999999999999996</v>
      </c>
      <c r="ES3" s="90">
        <f t="shared" ref="ES3:EU6" si="2">CE3</f>
        <v>1.61</v>
      </c>
      <c r="ET3" s="86">
        <f t="shared" si="2"/>
        <v>10</v>
      </c>
      <c r="EU3" s="86">
        <f t="shared" si="2"/>
        <v>10</v>
      </c>
      <c r="EV3" s="86">
        <f t="shared" ref="EV3:EV34" si="3">SQRT((((EP3-1)*EO3^2)+((ET3-1)*ES3^2))/((EP3+ET3)-2))</f>
        <v>2.6536955364170924</v>
      </c>
      <c r="EW3" s="86">
        <f t="shared" ref="EW3:EW34" si="4">(EN3-ER3)/EV3</f>
        <v>1.0928156452776259</v>
      </c>
      <c r="EX3" s="86">
        <f t="shared" ref="EX3:EX34" si="5">((EQ3+EU3)/(EQ3*EU3))+((EW3^2)/(2*(EP3+ET3)))</f>
        <v>0.22985615086408887</v>
      </c>
      <c r="EY3" s="86">
        <f t="shared" ref="EY3:EY34" si="6">1-(3/((4*(EP3+ET3-2))-1))</f>
        <v>0.95774647887323949</v>
      </c>
      <c r="EZ3" s="83">
        <f t="shared" ref="EZ3:EZ34" si="7">EY3*EW3</f>
        <v>1.0466403363222332</v>
      </c>
      <c r="FA3" s="83">
        <f t="shared" ref="FA3:FA34" si="8">(EY3^2)*EX3</f>
        <v>0.21084206339923567</v>
      </c>
      <c r="FB3" s="83">
        <f t="shared" ref="FB3:FB34" si="9">EQ3+EU3</f>
        <v>20</v>
      </c>
      <c r="FC3" s="82" t="s">
        <v>125</v>
      </c>
    </row>
    <row r="4" spans="1:159" s="82" customFormat="1" ht="17.100000000000001" customHeight="1">
      <c r="A4" s="78" t="s">
        <v>1853</v>
      </c>
      <c r="B4" s="91" t="s">
        <v>1913</v>
      </c>
      <c r="C4" s="80" t="str">
        <f t="shared" ref="C4:C67" si="10">(D4&amp;" "&amp;E4&amp;".  "&amp;F4&amp;". "&amp;G4&amp;". "&amp;H4&amp;": "&amp;I4&amp;".")</f>
        <v>Andersen, A. N., Penman, T. D., Debas, N., &amp; Houadria, M.  2009.  Ant community responses to experimental fire and logging in a eucalypt forest of south-eastern Australia. . Forest Ecology and Management. 258(2): 188-197.</v>
      </c>
      <c r="D4" s="91" t="s">
        <v>1523</v>
      </c>
      <c r="E4" s="91">
        <v>2009</v>
      </c>
      <c r="F4" s="91" t="s">
        <v>1137</v>
      </c>
      <c r="G4" s="91" t="s">
        <v>20</v>
      </c>
      <c r="H4" s="91" t="s">
        <v>1138</v>
      </c>
      <c r="I4" s="92" t="s">
        <v>1555</v>
      </c>
      <c r="J4" s="81"/>
      <c r="K4" s="91" t="s">
        <v>1139</v>
      </c>
      <c r="L4" s="84" t="s">
        <v>101</v>
      </c>
      <c r="M4" s="93" t="s">
        <v>73</v>
      </c>
      <c r="N4" s="84" t="s">
        <v>389</v>
      </c>
      <c r="O4" s="84"/>
      <c r="P4" s="91" t="s">
        <v>162</v>
      </c>
      <c r="Q4" s="91" t="s">
        <v>1140</v>
      </c>
      <c r="R4" s="94" t="s">
        <v>1141</v>
      </c>
      <c r="S4" s="91" t="s">
        <v>1142</v>
      </c>
      <c r="T4" s="91" t="s">
        <v>1440</v>
      </c>
      <c r="U4" s="91" t="s">
        <v>1441</v>
      </c>
      <c r="V4" s="91">
        <v>-37.230000000000018</v>
      </c>
      <c r="W4" s="91">
        <v>149.63</v>
      </c>
      <c r="X4" s="84"/>
      <c r="Y4" s="66" t="s">
        <v>1898</v>
      </c>
      <c r="Z4" s="66" t="s">
        <v>2202</v>
      </c>
      <c r="AA4" s="95" t="s">
        <v>555</v>
      </c>
      <c r="AB4" s="81" t="s">
        <v>237</v>
      </c>
      <c r="AC4" s="84" t="s">
        <v>137</v>
      </c>
      <c r="AD4" s="84"/>
      <c r="AE4" s="84"/>
      <c r="AF4" s="84" t="s">
        <v>87</v>
      </c>
      <c r="AG4" s="84" t="s">
        <v>91</v>
      </c>
      <c r="AH4" s="84" t="s">
        <v>106</v>
      </c>
      <c r="AI4" s="84" t="s">
        <v>272</v>
      </c>
      <c r="AJ4" s="86">
        <v>3</v>
      </c>
      <c r="AK4" s="87" t="s">
        <v>227</v>
      </c>
      <c r="AL4" s="87" t="s">
        <v>227</v>
      </c>
      <c r="AM4" s="84" t="s">
        <v>1143</v>
      </c>
      <c r="AN4" s="84" t="s">
        <v>690</v>
      </c>
      <c r="AO4" s="84" t="s">
        <v>526</v>
      </c>
      <c r="AP4" s="68" t="s">
        <v>2227</v>
      </c>
      <c r="AQ4" s="84" t="s">
        <v>94</v>
      </c>
      <c r="AR4" s="86">
        <v>1</v>
      </c>
      <c r="AS4" s="87" t="s">
        <v>227</v>
      </c>
      <c r="AT4" s="86">
        <v>20</v>
      </c>
      <c r="AU4" s="87" t="s">
        <v>571</v>
      </c>
      <c r="AV4" s="88">
        <v>0.125</v>
      </c>
      <c r="AW4" s="84" t="s">
        <v>1216</v>
      </c>
      <c r="AX4" s="84" t="s">
        <v>80</v>
      </c>
      <c r="AY4" s="86">
        <v>3</v>
      </c>
      <c r="AZ4" s="86">
        <v>1</v>
      </c>
      <c r="BA4" s="87" t="s">
        <v>227</v>
      </c>
      <c r="BB4" s="86">
        <v>20</v>
      </c>
      <c r="BC4" s="84" t="s">
        <v>1144</v>
      </c>
      <c r="BD4" s="93" t="s">
        <v>124</v>
      </c>
      <c r="BE4" s="84" t="s">
        <v>182</v>
      </c>
      <c r="BF4" s="93" t="s">
        <v>118</v>
      </c>
      <c r="BG4" s="84" t="s">
        <v>21</v>
      </c>
      <c r="BH4" s="84" t="s">
        <v>81</v>
      </c>
      <c r="BI4" s="84" t="s">
        <v>64</v>
      </c>
      <c r="BJ4" s="89">
        <f t="shared" si="0"/>
        <v>16</v>
      </c>
      <c r="BK4" s="84">
        <v>192</v>
      </c>
      <c r="BL4" s="84">
        <v>31</v>
      </c>
      <c r="BM4" s="88">
        <v>2.5833333333333335</v>
      </c>
      <c r="BN4" s="84" t="s">
        <v>379</v>
      </c>
      <c r="BO4" s="84" t="s">
        <v>2210</v>
      </c>
      <c r="BP4" s="84" t="s">
        <v>64</v>
      </c>
      <c r="BQ4" s="84"/>
      <c r="BR4" s="66" t="s">
        <v>2211</v>
      </c>
      <c r="BS4" s="84" t="s">
        <v>1145</v>
      </c>
      <c r="BT4" s="84" t="s">
        <v>573</v>
      </c>
      <c r="BU4" s="86">
        <v>19.920000000000002</v>
      </c>
      <c r="BV4" s="86">
        <v>7.71</v>
      </c>
      <c r="BW4" s="90">
        <v>13.354111726356043</v>
      </c>
      <c r="BX4" s="86">
        <v>3</v>
      </c>
      <c r="BY4" s="86">
        <v>3</v>
      </c>
      <c r="BZ4" s="84" t="s">
        <v>628</v>
      </c>
      <c r="CA4" s="84" t="s">
        <v>1615</v>
      </c>
      <c r="CB4" s="84" t="s">
        <v>80</v>
      </c>
      <c r="CC4" s="86">
        <v>18.52</v>
      </c>
      <c r="CD4" s="86">
        <v>4.28</v>
      </c>
      <c r="CE4" s="90">
        <v>7.413177456394795</v>
      </c>
      <c r="CF4" s="86">
        <v>3</v>
      </c>
      <c r="CG4" s="86">
        <v>3</v>
      </c>
      <c r="CH4" s="84" t="s">
        <v>628</v>
      </c>
      <c r="CI4" s="84" t="s">
        <v>1615</v>
      </c>
      <c r="CJ4" s="84"/>
      <c r="CK4" s="86"/>
      <c r="CL4" s="86"/>
      <c r="CM4" s="86"/>
      <c r="CN4" s="86"/>
      <c r="CO4" s="86"/>
      <c r="CP4" s="84"/>
      <c r="CQ4" s="84"/>
      <c r="CR4" s="84"/>
      <c r="CS4" s="86"/>
      <c r="CT4" s="86"/>
      <c r="CU4" s="86"/>
      <c r="CV4" s="86"/>
      <c r="CW4" s="86"/>
      <c r="CX4" s="84"/>
      <c r="CY4" s="84"/>
      <c r="CZ4" s="84"/>
      <c r="DF4" s="84"/>
      <c r="DG4" s="84"/>
      <c r="DH4" s="84"/>
      <c r="DO4" s="84"/>
      <c r="DP4" s="84"/>
      <c r="DV4" s="84"/>
      <c r="DW4" s="84"/>
      <c r="DX4" s="84"/>
      <c r="DY4" s="86"/>
      <c r="DZ4" s="86"/>
      <c r="EA4" s="86"/>
      <c r="EB4" s="86"/>
      <c r="EC4" s="86"/>
      <c r="ED4" s="84"/>
      <c r="EE4" s="84"/>
      <c r="EF4" s="84"/>
      <c r="EG4" s="86"/>
      <c r="EH4" s="86"/>
      <c r="EI4" s="86"/>
      <c r="EJ4" s="86"/>
      <c r="EK4" s="86"/>
      <c r="EL4" s="84"/>
      <c r="EM4" s="84"/>
      <c r="EN4" s="86">
        <f>BU4</f>
        <v>19.920000000000002</v>
      </c>
      <c r="EO4" s="90">
        <f t="shared" si="1"/>
        <v>13.354111726356043</v>
      </c>
      <c r="EP4" s="86">
        <f t="shared" si="1"/>
        <v>3</v>
      </c>
      <c r="EQ4" s="86">
        <f t="shared" si="1"/>
        <v>3</v>
      </c>
      <c r="ER4" s="86">
        <f>CC4</f>
        <v>18.52</v>
      </c>
      <c r="ES4" s="90">
        <f t="shared" si="2"/>
        <v>7.413177456394795</v>
      </c>
      <c r="ET4" s="86">
        <f t="shared" si="2"/>
        <v>3</v>
      </c>
      <c r="EU4" s="86">
        <f t="shared" si="2"/>
        <v>3</v>
      </c>
      <c r="EV4" s="86">
        <f t="shared" si="3"/>
        <v>10.800173609715724</v>
      </c>
      <c r="EW4" s="86">
        <f t="shared" si="4"/>
        <v>0.129627545870242</v>
      </c>
      <c r="EX4" s="86">
        <f t="shared" si="5"/>
        <v>0.66806694172069514</v>
      </c>
      <c r="EY4" s="86">
        <f t="shared" si="6"/>
        <v>0.8</v>
      </c>
      <c r="EZ4" s="83">
        <f t="shared" si="7"/>
        <v>0.1037020366961936</v>
      </c>
      <c r="FA4" s="83">
        <f t="shared" si="8"/>
        <v>0.42756284270124495</v>
      </c>
      <c r="FB4" s="83">
        <f t="shared" si="9"/>
        <v>6</v>
      </c>
      <c r="FC4" s="84" t="s">
        <v>385</v>
      </c>
    </row>
    <row r="5" spans="1:159" s="82" customFormat="1" ht="17.100000000000001" customHeight="1">
      <c r="A5" s="78" t="s">
        <v>1853</v>
      </c>
      <c r="B5" s="91" t="s">
        <v>1914</v>
      </c>
      <c r="C5" s="80" t="str">
        <f t="shared" si="10"/>
        <v>Andersen, A. N., Penman, T. D., Debas, N., &amp; Houadria, M.  2009.  Ant community responses to experimental fire and logging in a eucalypt forest of south-eastern Australia. . Forest Ecology and Management. 258(2): 188-197.</v>
      </c>
      <c r="D5" s="91" t="s">
        <v>1523</v>
      </c>
      <c r="E5" s="91">
        <v>2009</v>
      </c>
      <c r="F5" s="91" t="s">
        <v>1137</v>
      </c>
      <c r="G5" s="91" t="s">
        <v>20</v>
      </c>
      <c r="H5" s="91" t="s">
        <v>1138</v>
      </c>
      <c r="I5" s="92" t="s">
        <v>1555</v>
      </c>
      <c r="J5" s="81"/>
      <c r="K5" s="91" t="s">
        <v>1139</v>
      </c>
      <c r="L5" s="84" t="s">
        <v>101</v>
      </c>
      <c r="M5" s="93" t="s">
        <v>73</v>
      </c>
      <c r="N5" s="84" t="s">
        <v>389</v>
      </c>
      <c r="O5" s="84"/>
      <c r="P5" s="91" t="s">
        <v>162</v>
      </c>
      <c r="Q5" s="91" t="s">
        <v>1140</v>
      </c>
      <c r="R5" s="91" t="s">
        <v>1141</v>
      </c>
      <c r="S5" s="91" t="s">
        <v>1142</v>
      </c>
      <c r="T5" s="91" t="s">
        <v>1440</v>
      </c>
      <c r="U5" s="91" t="s">
        <v>1441</v>
      </c>
      <c r="V5" s="91">
        <v>-37.230000000000018</v>
      </c>
      <c r="W5" s="91">
        <v>149.63</v>
      </c>
      <c r="X5" s="84"/>
      <c r="Y5" s="66" t="s">
        <v>1898</v>
      </c>
      <c r="Z5" s="66" t="s">
        <v>2202</v>
      </c>
      <c r="AA5" s="95" t="s">
        <v>555</v>
      </c>
      <c r="AB5" s="81" t="s">
        <v>237</v>
      </c>
      <c r="AC5" s="84" t="s">
        <v>137</v>
      </c>
      <c r="AD5" s="84"/>
      <c r="AE5" s="84"/>
      <c r="AF5" s="84" t="s">
        <v>87</v>
      </c>
      <c r="AG5" s="84" t="s">
        <v>91</v>
      </c>
      <c r="AH5" s="84" t="s">
        <v>106</v>
      </c>
      <c r="AI5" s="84" t="s">
        <v>272</v>
      </c>
      <c r="AJ5" s="86">
        <v>3</v>
      </c>
      <c r="AK5" s="87" t="s">
        <v>312</v>
      </c>
      <c r="AL5" s="87" t="s">
        <v>312</v>
      </c>
      <c r="AM5" s="84" t="s">
        <v>1143</v>
      </c>
      <c r="AN5" s="84" t="s">
        <v>690</v>
      </c>
      <c r="AO5" s="84" t="s">
        <v>526</v>
      </c>
      <c r="AP5" s="68" t="s">
        <v>2227</v>
      </c>
      <c r="AQ5" s="84" t="s">
        <v>94</v>
      </c>
      <c r="AR5" s="86">
        <v>1</v>
      </c>
      <c r="AS5" s="87" t="s">
        <v>227</v>
      </c>
      <c r="AT5" s="86">
        <v>20</v>
      </c>
      <c r="AU5" s="87" t="s">
        <v>571</v>
      </c>
      <c r="AV5" s="88">
        <v>0.375</v>
      </c>
      <c r="AW5" s="84" t="s">
        <v>1217</v>
      </c>
      <c r="AX5" s="84" t="s">
        <v>80</v>
      </c>
      <c r="AY5" s="86">
        <v>3</v>
      </c>
      <c r="AZ5" s="86">
        <v>1</v>
      </c>
      <c r="BA5" s="87" t="s">
        <v>227</v>
      </c>
      <c r="BB5" s="86">
        <v>20</v>
      </c>
      <c r="BC5" s="84" t="s">
        <v>1144</v>
      </c>
      <c r="BD5" s="93" t="s">
        <v>124</v>
      </c>
      <c r="BE5" s="84" t="s">
        <v>182</v>
      </c>
      <c r="BF5" s="93" t="s">
        <v>118</v>
      </c>
      <c r="BG5" s="84" t="s">
        <v>21</v>
      </c>
      <c r="BH5" s="84" t="s">
        <v>81</v>
      </c>
      <c r="BI5" s="84" t="s">
        <v>64</v>
      </c>
      <c r="BJ5" s="89">
        <f t="shared" si="0"/>
        <v>16</v>
      </c>
      <c r="BK5" s="84">
        <v>192</v>
      </c>
      <c r="BL5" s="84">
        <v>17</v>
      </c>
      <c r="BM5" s="88">
        <v>1.4166666666666667</v>
      </c>
      <c r="BN5" s="84" t="s">
        <v>379</v>
      </c>
      <c r="BO5" s="84" t="s">
        <v>2210</v>
      </c>
      <c r="BP5" s="84" t="s">
        <v>64</v>
      </c>
      <c r="BQ5" s="84"/>
      <c r="BR5" s="66" t="s">
        <v>2211</v>
      </c>
      <c r="BS5" s="84" t="s">
        <v>1145</v>
      </c>
      <c r="BT5" s="84" t="s">
        <v>417</v>
      </c>
      <c r="BU5" s="86">
        <v>22.55</v>
      </c>
      <c r="BV5" s="86">
        <v>6.59</v>
      </c>
      <c r="BW5" s="90">
        <v>11.4142148218789</v>
      </c>
      <c r="BX5" s="86">
        <v>3</v>
      </c>
      <c r="BY5" s="86">
        <v>3</v>
      </c>
      <c r="BZ5" s="84" t="s">
        <v>628</v>
      </c>
      <c r="CA5" s="84" t="s">
        <v>1615</v>
      </c>
      <c r="CB5" s="84" t="s">
        <v>80</v>
      </c>
      <c r="CC5" s="86">
        <v>18.52</v>
      </c>
      <c r="CD5" s="86">
        <v>4.28</v>
      </c>
      <c r="CE5" s="90">
        <v>7.413177456394795</v>
      </c>
      <c r="CF5" s="86">
        <v>3</v>
      </c>
      <c r="CG5" s="86">
        <v>3</v>
      </c>
      <c r="CH5" s="84" t="s">
        <v>628</v>
      </c>
      <c r="CI5" s="84" t="s">
        <v>1615</v>
      </c>
      <c r="CJ5" s="84"/>
      <c r="CK5" s="86"/>
      <c r="CL5" s="86"/>
      <c r="CM5" s="86"/>
      <c r="CN5" s="86"/>
      <c r="CO5" s="86"/>
      <c r="CP5" s="84"/>
      <c r="CQ5" s="84"/>
      <c r="CR5" s="84"/>
      <c r="CS5" s="86"/>
      <c r="CT5" s="86"/>
      <c r="CU5" s="86"/>
      <c r="CV5" s="86"/>
      <c r="CW5" s="86"/>
      <c r="CX5" s="84"/>
      <c r="CY5" s="84"/>
      <c r="CZ5" s="84"/>
      <c r="DF5" s="84"/>
      <c r="DG5" s="84"/>
      <c r="DH5" s="84"/>
      <c r="DO5" s="84"/>
      <c r="DP5" s="84"/>
      <c r="DV5" s="84"/>
      <c r="DW5" s="84"/>
      <c r="DX5" s="84"/>
      <c r="DY5" s="86"/>
      <c r="DZ5" s="86"/>
      <c r="EA5" s="86"/>
      <c r="EB5" s="86"/>
      <c r="EC5" s="86"/>
      <c r="ED5" s="84"/>
      <c r="EE5" s="84"/>
      <c r="EF5" s="84"/>
      <c r="EG5" s="86"/>
      <c r="EH5" s="86"/>
      <c r="EI5" s="86"/>
      <c r="EJ5" s="86"/>
      <c r="EK5" s="86"/>
      <c r="EL5" s="84"/>
      <c r="EM5" s="84"/>
      <c r="EN5" s="86">
        <f>BU5</f>
        <v>22.55</v>
      </c>
      <c r="EO5" s="90">
        <f t="shared" si="1"/>
        <v>11.4142148218789</v>
      </c>
      <c r="EP5" s="86">
        <f t="shared" si="1"/>
        <v>3</v>
      </c>
      <c r="EQ5" s="86">
        <f t="shared" si="1"/>
        <v>3</v>
      </c>
      <c r="ER5" s="86">
        <f>CC5</f>
        <v>18.52</v>
      </c>
      <c r="ES5" s="90">
        <f t="shared" si="2"/>
        <v>7.413177456394795</v>
      </c>
      <c r="ET5" s="86">
        <f t="shared" si="2"/>
        <v>3</v>
      </c>
      <c r="EU5" s="86">
        <f t="shared" si="2"/>
        <v>3</v>
      </c>
      <c r="EV5" s="86">
        <f t="shared" si="3"/>
        <v>9.6239155233200169</v>
      </c>
      <c r="EW5" s="86">
        <f t="shared" si="4"/>
        <v>0.41874848030770628</v>
      </c>
      <c r="EX5" s="86">
        <f t="shared" si="5"/>
        <v>0.68127919081333443</v>
      </c>
      <c r="EY5" s="86">
        <f t="shared" si="6"/>
        <v>0.8</v>
      </c>
      <c r="EZ5" s="83">
        <f t="shared" si="7"/>
        <v>0.33499878424616503</v>
      </c>
      <c r="FA5" s="83">
        <f t="shared" si="8"/>
        <v>0.43601868212053413</v>
      </c>
      <c r="FB5" s="83">
        <f t="shared" si="9"/>
        <v>6</v>
      </c>
      <c r="FC5" s="84" t="s">
        <v>385</v>
      </c>
    </row>
    <row r="6" spans="1:159" s="82" customFormat="1" ht="66.95" customHeight="1">
      <c r="A6" s="78" t="s">
        <v>1832</v>
      </c>
      <c r="B6" s="96" t="s">
        <v>1423</v>
      </c>
      <c r="C6" s="80" t="str">
        <f t="shared" si="10"/>
        <v>Apigian, K. O., Dahlsten, D. L., &amp; Stephens, S. L.  2006.  Fire and fire surrogate treatment effects on leaf litter arthropods in a western Sierra Nevada mixed-conifer forest. Forest Ecology and Management. 221: 110-122.</v>
      </c>
      <c r="D6" s="91" t="s">
        <v>1500</v>
      </c>
      <c r="E6" s="91">
        <v>2006</v>
      </c>
      <c r="F6" s="96" t="s">
        <v>943</v>
      </c>
      <c r="G6" s="96" t="s">
        <v>20</v>
      </c>
      <c r="H6" s="91">
        <v>221</v>
      </c>
      <c r="I6" s="92" t="s">
        <v>944</v>
      </c>
      <c r="J6" s="79"/>
      <c r="K6" s="96" t="s">
        <v>945</v>
      </c>
      <c r="L6" s="82" t="s">
        <v>18</v>
      </c>
      <c r="M6" s="83" t="s">
        <v>73</v>
      </c>
      <c r="N6" s="82" t="s">
        <v>389</v>
      </c>
      <c r="P6" s="91" t="s">
        <v>16</v>
      </c>
      <c r="Q6" s="96" t="s">
        <v>15</v>
      </c>
      <c r="R6" s="96" t="s">
        <v>14</v>
      </c>
      <c r="S6" s="96" t="s">
        <v>1564</v>
      </c>
      <c r="T6" s="96" t="s">
        <v>946</v>
      </c>
      <c r="U6" s="96" t="s">
        <v>947</v>
      </c>
      <c r="V6" s="91">
        <v>38.869999999999997</v>
      </c>
      <c r="W6" s="91">
        <v>-120.67</v>
      </c>
      <c r="X6" s="91" t="s">
        <v>948</v>
      </c>
      <c r="Y6" s="66" t="s">
        <v>1894</v>
      </c>
      <c r="Z6" s="66" t="s">
        <v>2201</v>
      </c>
      <c r="AA6" s="97" t="s">
        <v>49</v>
      </c>
      <c r="AB6" s="79" t="s">
        <v>103</v>
      </c>
      <c r="AC6" s="82" t="s">
        <v>136</v>
      </c>
      <c r="AF6" s="82" t="s">
        <v>86</v>
      </c>
      <c r="AG6" s="82" t="s">
        <v>91</v>
      </c>
      <c r="AH6" s="82" t="s">
        <v>106</v>
      </c>
      <c r="AI6" s="82" t="s">
        <v>272</v>
      </c>
      <c r="AJ6" s="86">
        <v>3</v>
      </c>
      <c r="AK6" s="86">
        <v>1</v>
      </c>
      <c r="AL6" s="86">
        <v>1</v>
      </c>
      <c r="AM6" s="84" t="s">
        <v>936</v>
      </c>
      <c r="AN6" s="84" t="s">
        <v>522</v>
      </c>
      <c r="AO6" s="84" t="s">
        <v>524</v>
      </c>
      <c r="AP6" s="68" t="s">
        <v>2228</v>
      </c>
      <c r="AQ6" s="82" t="s">
        <v>94</v>
      </c>
      <c r="AR6" s="86">
        <v>1</v>
      </c>
      <c r="AS6" s="86">
        <v>5</v>
      </c>
      <c r="AT6" s="86"/>
      <c r="AU6" s="87"/>
      <c r="AV6" s="88">
        <v>1</v>
      </c>
      <c r="AX6" s="82" t="s">
        <v>80</v>
      </c>
      <c r="AY6" s="86">
        <v>3</v>
      </c>
      <c r="AZ6" s="86">
        <v>1</v>
      </c>
      <c r="BA6" s="86">
        <v>5</v>
      </c>
      <c r="BB6" s="86"/>
      <c r="BD6" s="83" t="s">
        <v>124</v>
      </c>
      <c r="BE6" s="82" t="s">
        <v>182</v>
      </c>
      <c r="BF6" s="83" t="s">
        <v>119</v>
      </c>
      <c r="BG6" s="82" t="s">
        <v>21</v>
      </c>
      <c r="BH6" s="82" t="s">
        <v>22</v>
      </c>
      <c r="BI6" s="84" t="s">
        <v>939</v>
      </c>
      <c r="BJ6" s="89">
        <f t="shared" si="0"/>
        <v>0.75</v>
      </c>
      <c r="BK6" s="84">
        <v>9</v>
      </c>
      <c r="BL6" s="84">
        <v>9</v>
      </c>
      <c r="BM6" s="88">
        <v>0.75</v>
      </c>
      <c r="BN6" s="82" t="s">
        <v>379</v>
      </c>
      <c r="BO6" s="82" t="s">
        <v>949</v>
      </c>
      <c r="BP6" s="82" t="s">
        <v>64</v>
      </c>
      <c r="BR6" s="82" t="s">
        <v>950</v>
      </c>
      <c r="BS6" s="82" t="s">
        <v>2172</v>
      </c>
      <c r="BT6" s="82" t="s">
        <v>572</v>
      </c>
      <c r="BU6" s="86">
        <v>34.36</v>
      </c>
      <c r="BV6" s="86">
        <v>8</v>
      </c>
      <c r="BW6" s="90">
        <v>8</v>
      </c>
      <c r="BX6" s="86">
        <v>3</v>
      </c>
      <c r="BY6" s="86">
        <v>3</v>
      </c>
      <c r="BZ6" s="82" t="s">
        <v>883</v>
      </c>
      <c r="CA6" s="82" t="s">
        <v>1607</v>
      </c>
      <c r="CB6" s="82" t="s">
        <v>80</v>
      </c>
      <c r="CC6" s="86">
        <v>25.16</v>
      </c>
      <c r="CD6" s="86">
        <v>14.27</v>
      </c>
      <c r="CE6" s="90">
        <v>14.27</v>
      </c>
      <c r="CF6" s="86">
        <v>3</v>
      </c>
      <c r="CG6" s="86">
        <v>3</v>
      </c>
      <c r="CH6" s="82" t="s">
        <v>883</v>
      </c>
      <c r="CK6" s="86"/>
      <c r="CL6" s="86"/>
      <c r="CM6" s="86"/>
      <c r="CN6" s="86"/>
      <c r="CO6" s="86"/>
      <c r="CS6" s="86"/>
      <c r="CT6" s="86"/>
      <c r="CU6" s="86"/>
      <c r="CV6" s="86"/>
      <c r="CW6" s="86"/>
      <c r="DQ6" s="79"/>
      <c r="DR6" s="79"/>
      <c r="DY6" s="86"/>
      <c r="DZ6" s="86"/>
      <c r="EA6" s="86"/>
      <c r="EB6" s="86"/>
      <c r="EC6" s="86"/>
      <c r="EG6" s="86"/>
      <c r="EH6" s="86"/>
      <c r="EI6" s="86"/>
      <c r="EJ6" s="86"/>
      <c r="EK6" s="86"/>
      <c r="EN6" s="86">
        <f>BU6</f>
        <v>34.36</v>
      </c>
      <c r="EO6" s="90">
        <f t="shared" si="1"/>
        <v>8</v>
      </c>
      <c r="EP6" s="86">
        <f t="shared" si="1"/>
        <v>3</v>
      </c>
      <c r="EQ6" s="86">
        <f t="shared" si="1"/>
        <v>3</v>
      </c>
      <c r="ER6" s="86">
        <f>CC6</f>
        <v>25.16</v>
      </c>
      <c r="ES6" s="90">
        <f t="shared" si="2"/>
        <v>14.27</v>
      </c>
      <c r="ET6" s="86">
        <f t="shared" si="2"/>
        <v>3</v>
      </c>
      <c r="EU6" s="86">
        <f t="shared" si="2"/>
        <v>3</v>
      </c>
      <c r="EV6" s="86">
        <f t="shared" si="3"/>
        <v>11.56790603350494</v>
      </c>
      <c r="EW6" s="86">
        <f t="shared" si="4"/>
        <v>0.79530383228852242</v>
      </c>
      <c r="EX6" s="86">
        <f t="shared" si="5"/>
        <v>0.71937568213773417</v>
      </c>
      <c r="EY6" s="86">
        <f t="shared" si="6"/>
        <v>0.8</v>
      </c>
      <c r="EZ6" s="83">
        <f t="shared" si="7"/>
        <v>0.63624306583081802</v>
      </c>
      <c r="FA6" s="83">
        <f t="shared" si="8"/>
        <v>0.46040043656814994</v>
      </c>
      <c r="FB6" s="83">
        <f t="shared" si="9"/>
        <v>6</v>
      </c>
      <c r="FC6" s="82" t="s">
        <v>385</v>
      </c>
    </row>
    <row r="7" spans="1:159" s="82" customFormat="1" ht="17.100000000000001" customHeight="1">
      <c r="A7" s="78" t="s">
        <v>1785</v>
      </c>
      <c r="B7" s="82" t="s">
        <v>1594</v>
      </c>
      <c r="C7" s="80" t="str">
        <f t="shared" si="10"/>
        <v>Bêche, L. A., Stephens, S. L., &amp; Resh, V. H.   2005.  Effects of prescribed fire on a Sierra Nevada (California, USA) stream and its riparian zone. Forest Ecology and Management. 218: 37-59.</v>
      </c>
      <c r="D7" s="82" t="s">
        <v>1455</v>
      </c>
      <c r="E7" s="84">
        <v>2005</v>
      </c>
      <c r="F7" s="82" t="s">
        <v>138</v>
      </c>
      <c r="G7" s="82" t="s">
        <v>20</v>
      </c>
      <c r="H7" s="84">
        <v>218</v>
      </c>
      <c r="I7" s="84" t="s">
        <v>19</v>
      </c>
      <c r="K7" s="82" t="s">
        <v>56</v>
      </c>
      <c r="L7" s="82" t="s">
        <v>18</v>
      </c>
      <c r="M7" s="83" t="s">
        <v>73</v>
      </c>
      <c r="N7" s="82" t="s">
        <v>389</v>
      </c>
      <c r="P7" s="84" t="s">
        <v>16</v>
      </c>
      <c r="Q7" s="82" t="s">
        <v>15</v>
      </c>
      <c r="R7" s="82" t="s">
        <v>14</v>
      </c>
      <c r="T7" s="82" t="s">
        <v>1386</v>
      </c>
      <c r="U7" s="82" t="s">
        <v>947</v>
      </c>
      <c r="V7" s="84">
        <v>38.92</v>
      </c>
      <c r="W7" s="84">
        <v>-120.67</v>
      </c>
      <c r="X7" s="84" t="s">
        <v>39</v>
      </c>
      <c r="Y7" s="66" t="s">
        <v>1894</v>
      </c>
      <c r="Z7" s="66" t="s">
        <v>2201</v>
      </c>
      <c r="AA7" s="83" t="s">
        <v>97</v>
      </c>
      <c r="AB7" s="98" t="s">
        <v>103</v>
      </c>
      <c r="AC7" s="98" t="s">
        <v>64</v>
      </c>
      <c r="AD7" s="82" t="s">
        <v>64</v>
      </c>
      <c r="AE7" s="98" t="s">
        <v>24</v>
      </c>
      <c r="AF7" s="82" t="s">
        <v>156</v>
      </c>
      <c r="AG7" s="82" t="s">
        <v>17</v>
      </c>
      <c r="AH7" s="82" t="s">
        <v>106</v>
      </c>
      <c r="AI7" s="82" t="s">
        <v>276</v>
      </c>
      <c r="AJ7" s="86" t="s">
        <v>85</v>
      </c>
      <c r="AK7" s="86" t="s">
        <v>85</v>
      </c>
      <c r="AL7" s="86" t="s">
        <v>85</v>
      </c>
      <c r="AM7" s="84" t="s">
        <v>75</v>
      </c>
      <c r="AN7" s="84" t="s">
        <v>522</v>
      </c>
      <c r="AO7" s="84" t="s">
        <v>524</v>
      </c>
      <c r="AP7" s="68" t="s">
        <v>2228</v>
      </c>
      <c r="AQ7" s="82" t="s">
        <v>88</v>
      </c>
      <c r="AR7" s="86" t="s">
        <v>85</v>
      </c>
      <c r="AS7" s="86" t="s">
        <v>207</v>
      </c>
      <c r="AT7" s="86" t="s">
        <v>227</v>
      </c>
      <c r="AU7" s="86"/>
      <c r="AV7" s="88">
        <v>1</v>
      </c>
      <c r="AX7" s="82" t="s">
        <v>80</v>
      </c>
      <c r="AY7" s="86">
        <v>3</v>
      </c>
      <c r="AZ7" s="86">
        <v>2</v>
      </c>
      <c r="BA7" s="86" t="s">
        <v>85</v>
      </c>
      <c r="BB7" s="86" t="s">
        <v>227</v>
      </c>
      <c r="BD7" s="83" t="s">
        <v>124</v>
      </c>
      <c r="BE7" s="82" t="s">
        <v>182</v>
      </c>
      <c r="BF7" s="83" t="s">
        <v>110</v>
      </c>
      <c r="BG7" s="82" t="s">
        <v>21</v>
      </c>
      <c r="BH7" s="82" t="s">
        <v>438</v>
      </c>
      <c r="BI7" s="84" t="s">
        <v>90</v>
      </c>
      <c r="BJ7" s="89">
        <f t="shared" si="0"/>
        <v>1</v>
      </c>
      <c r="BK7" s="84">
        <v>12</v>
      </c>
      <c r="BL7" s="84">
        <v>12</v>
      </c>
      <c r="BM7" s="88">
        <v>1</v>
      </c>
      <c r="BN7" s="82" t="s">
        <v>379</v>
      </c>
      <c r="BO7" s="82" t="s">
        <v>23</v>
      </c>
      <c r="BP7" s="82" t="s">
        <v>64</v>
      </c>
      <c r="BR7" s="82" t="s">
        <v>89</v>
      </c>
      <c r="BS7" s="82" t="s">
        <v>2123</v>
      </c>
      <c r="BU7" s="90"/>
      <c r="BV7" s="90"/>
      <c r="BW7" s="90"/>
      <c r="BX7" s="86"/>
      <c r="BY7" s="86"/>
      <c r="CC7" s="90"/>
      <c r="CD7" s="90"/>
      <c r="CE7" s="90"/>
      <c r="CF7" s="86"/>
      <c r="CG7" s="86"/>
      <c r="CK7" s="86"/>
      <c r="CL7" s="86"/>
      <c r="CM7" s="86"/>
      <c r="CN7" s="86"/>
      <c r="CO7" s="86"/>
      <c r="CS7" s="86"/>
      <c r="CT7" s="86"/>
      <c r="CU7" s="86"/>
      <c r="CV7" s="86"/>
      <c r="CW7" s="86"/>
      <c r="DX7" s="82" t="s">
        <v>72</v>
      </c>
      <c r="DY7" s="86">
        <v>3.7</v>
      </c>
      <c r="DZ7" s="86">
        <v>1.1000000000000001</v>
      </c>
      <c r="EA7" s="86">
        <v>1.77474766642103</v>
      </c>
      <c r="EB7" s="86">
        <v>10</v>
      </c>
      <c r="EC7" s="86" t="s">
        <v>207</v>
      </c>
      <c r="ED7" s="82" t="s">
        <v>40</v>
      </c>
      <c r="EE7" s="82" t="s">
        <v>1280</v>
      </c>
      <c r="EF7" s="82" t="s">
        <v>80</v>
      </c>
      <c r="EG7" s="86">
        <v>0.8</v>
      </c>
      <c r="EH7" s="86">
        <v>0.9</v>
      </c>
      <c r="EI7" s="86">
        <v>1.5906589049101936</v>
      </c>
      <c r="EJ7" s="86" t="s">
        <v>185</v>
      </c>
      <c r="EK7" s="86" t="s">
        <v>312</v>
      </c>
      <c r="EL7" s="82" t="s">
        <v>40</v>
      </c>
      <c r="EM7" s="82" t="s">
        <v>424</v>
      </c>
      <c r="EN7" s="86">
        <f>DY7</f>
        <v>3.7</v>
      </c>
      <c r="EO7" s="86">
        <f t="shared" ref="EO7:EQ8" si="11">EA7</f>
        <v>1.77474766642103</v>
      </c>
      <c r="EP7" s="86">
        <f t="shared" si="11"/>
        <v>10</v>
      </c>
      <c r="EQ7" s="86" t="str">
        <f t="shared" si="11"/>
        <v>5</v>
      </c>
      <c r="ER7" s="86">
        <f>EG7</f>
        <v>0.8</v>
      </c>
      <c r="ES7" s="86">
        <f t="shared" ref="ES7:EU8" si="12">EI7</f>
        <v>1.5906589049101936</v>
      </c>
      <c r="ET7" s="86" t="str">
        <f t="shared" si="12"/>
        <v>12</v>
      </c>
      <c r="EU7" s="86" t="str">
        <f t="shared" si="12"/>
        <v>6</v>
      </c>
      <c r="EV7" s="86">
        <f t="shared" si="3"/>
        <v>1.6760029353296653</v>
      </c>
      <c r="EW7" s="86">
        <f t="shared" si="4"/>
        <v>1.7303072320870239</v>
      </c>
      <c r="EX7" s="86">
        <f t="shared" si="5"/>
        <v>0.43471128297149975</v>
      </c>
      <c r="EY7" s="86">
        <f t="shared" si="6"/>
        <v>0.96202531645569622</v>
      </c>
      <c r="EZ7" s="83">
        <f t="shared" si="7"/>
        <v>1.6645993625140989</v>
      </c>
      <c r="FA7" s="83">
        <f t="shared" si="8"/>
        <v>0.40232212312824589</v>
      </c>
      <c r="FB7" s="83">
        <f t="shared" si="9"/>
        <v>11</v>
      </c>
      <c r="FC7" s="82" t="s">
        <v>125</v>
      </c>
    </row>
    <row r="8" spans="1:159" s="82" customFormat="1" ht="17.100000000000001" customHeight="1">
      <c r="A8" s="78" t="s">
        <v>1785</v>
      </c>
      <c r="B8" s="82" t="s">
        <v>1594</v>
      </c>
      <c r="C8" s="80" t="str">
        <f t="shared" si="10"/>
        <v>Bêche, L. A., Stephens, S. L., &amp; Resh, V. H.   2005.  Effects of prescribed fire on a Sierra Nevada (California, USA) stream and its riparian zone. Forest Ecology and Management. 218: 37-59.</v>
      </c>
      <c r="D8" s="82" t="s">
        <v>1455</v>
      </c>
      <c r="E8" s="84">
        <v>2005</v>
      </c>
      <c r="F8" s="82" t="s">
        <v>138</v>
      </c>
      <c r="G8" s="82" t="s">
        <v>20</v>
      </c>
      <c r="H8" s="84">
        <v>218</v>
      </c>
      <c r="I8" s="84" t="s">
        <v>19</v>
      </c>
      <c r="K8" s="82" t="s">
        <v>56</v>
      </c>
      <c r="L8" s="82" t="s">
        <v>18</v>
      </c>
      <c r="M8" s="83" t="s">
        <v>73</v>
      </c>
      <c r="N8" s="82" t="s">
        <v>389</v>
      </c>
      <c r="P8" s="84" t="s">
        <v>16</v>
      </c>
      <c r="Q8" s="82" t="s">
        <v>15</v>
      </c>
      <c r="R8" s="82" t="s">
        <v>14</v>
      </c>
      <c r="T8" s="82" t="s">
        <v>1386</v>
      </c>
      <c r="U8" s="82" t="s">
        <v>947</v>
      </c>
      <c r="V8" s="84">
        <v>38.92</v>
      </c>
      <c r="W8" s="84">
        <v>-120.67</v>
      </c>
      <c r="X8" s="84" t="s">
        <v>39</v>
      </c>
      <c r="Y8" s="66" t="s">
        <v>1894</v>
      </c>
      <c r="Z8" s="66" t="s">
        <v>2201</v>
      </c>
      <c r="AA8" s="83" t="s">
        <v>97</v>
      </c>
      <c r="AB8" s="98" t="s">
        <v>103</v>
      </c>
      <c r="AC8" s="98" t="s">
        <v>64</v>
      </c>
      <c r="AD8" s="82" t="s">
        <v>64</v>
      </c>
      <c r="AE8" s="98" t="s">
        <v>24</v>
      </c>
      <c r="AF8" s="82" t="s">
        <v>156</v>
      </c>
      <c r="AG8" s="82" t="s">
        <v>17</v>
      </c>
      <c r="AH8" s="82" t="s">
        <v>106</v>
      </c>
      <c r="AI8" s="82" t="s">
        <v>276</v>
      </c>
      <c r="AJ8" s="86" t="s">
        <v>85</v>
      </c>
      <c r="AK8" s="86" t="s">
        <v>85</v>
      </c>
      <c r="AL8" s="86" t="s">
        <v>85</v>
      </c>
      <c r="AM8" s="84" t="s">
        <v>75</v>
      </c>
      <c r="AN8" s="84" t="s">
        <v>522</v>
      </c>
      <c r="AO8" s="84" t="s">
        <v>524</v>
      </c>
      <c r="AP8" s="68" t="s">
        <v>2228</v>
      </c>
      <c r="AQ8" s="82" t="s">
        <v>88</v>
      </c>
      <c r="AR8" s="86" t="s">
        <v>85</v>
      </c>
      <c r="AS8" s="86" t="s">
        <v>207</v>
      </c>
      <c r="AT8" s="86" t="s">
        <v>227</v>
      </c>
      <c r="AU8" s="86"/>
      <c r="AV8" s="88">
        <v>1</v>
      </c>
      <c r="AX8" s="82" t="s">
        <v>80</v>
      </c>
      <c r="AY8" s="86">
        <v>3</v>
      </c>
      <c r="AZ8" s="86">
        <v>2</v>
      </c>
      <c r="BA8" s="86" t="s">
        <v>85</v>
      </c>
      <c r="BB8" s="86" t="s">
        <v>227</v>
      </c>
      <c r="BD8" s="83" t="s">
        <v>122</v>
      </c>
      <c r="BE8" s="82" t="s">
        <v>1603</v>
      </c>
      <c r="BF8" s="83" t="s">
        <v>110</v>
      </c>
      <c r="BG8" s="82" t="s">
        <v>21</v>
      </c>
      <c r="BH8" s="82" t="s">
        <v>438</v>
      </c>
      <c r="BI8" s="84" t="s">
        <v>90</v>
      </c>
      <c r="BJ8" s="89">
        <f t="shared" si="0"/>
        <v>1</v>
      </c>
      <c r="BK8" s="84">
        <v>12</v>
      </c>
      <c r="BL8" s="84">
        <v>12</v>
      </c>
      <c r="BM8" s="88">
        <v>1</v>
      </c>
      <c r="BN8" s="82" t="s">
        <v>379</v>
      </c>
      <c r="BO8" s="82" t="s">
        <v>23</v>
      </c>
      <c r="BP8" s="82" t="s">
        <v>64</v>
      </c>
      <c r="BQ8" s="82" t="s">
        <v>578</v>
      </c>
      <c r="BR8" s="82" t="s">
        <v>89</v>
      </c>
      <c r="BS8" s="82" t="s">
        <v>2123</v>
      </c>
      <c r="BU8" s="90"/>
      <c r="BV8" s="90"/>
      <c r="BW8" s="90"/>
      <c r="BX8" s="86"/>
      <c r="BY8" s="86"/>
      <c r="CC8" s="90"/>
      <c r="CD8" s="90"/>
      <c r="CE8" s="90"/>
      <c r="CF8" s="86"/>
      <c r="CG8" s="86"/>
      <c r="CK8" s="86"/>
      <c r="CL8" s="86"/>
      <c r="CM8" s="86"/>
      <c r="CN8" s="86"/>
      <c r="CO8" s="86"/>
      <c r="CS8" s="86"/>
      <c r="CT8" s="86"/>
      <c r="CU8" s="86"/>
      <c r="CV8" s="86"/>
      <c r="CW8" s="86"/>
      <c r="DX8" s="82" t="s">
        <v>72</v>
      </c>
      <c r="DY8" s="86">
        <v>0.94</v>
      </c>
      <c r="DZ8" s="86">
        <v>0.05</v>
      </c>
      <c r="EA8" s="86">
        <v>8.0670348473683234E-2</v>
      </c>
      <c r="EB8" s="86">
        <v>10</v>
      </c>
      <c r="EC8" s="86" t="s">
        <v>207</v>
      </c>
      <c r="ED8" s="82" t="s">
        <v>40</v>
      </c>
      <c r="EE8" s="82" t="s">
        <v>1595</v>
      </c>
      <c r="EF8" s="82" t="s">
        <v>80</v>
      </c>
      <c r="EG8" s="86">
        <v>0.9</v>
      </c>
      <c r="EH8" s="86">
        <v>0.08</v>
      </c>
      <c r="EI8" s="86">
        <v>0.14139190265868379</v>
      </c>
      <c r="EJ8" s="86" t="s">
        <v>185</v>
      </c>
      <c r="EK8" s="86" t="s">
        <v>312</v>
      </c>
      <c r="EL8" s="82" t="s">
        <v>40</v>
      </c>
      <c r="EM8" s="82" t="s">
        <v>1596</v>
      </c>
      <c r="EN8" s="86">
        <f>DY8</f>
        <v>0.94</v>
      </c>
      <c r="EO8" s="86">
        <f t="shared" si="11"/>
        <v>8.0670348473683234E-2</v>
      </c>
      <c r="EP8" s="86">
        <f t="shared" si="11"/>
        <v>10</v>
      </c>
      <c r="EQ8" s="86" t="str">
        <f t="shared" si="11"/>
        <v>5</v>
      </c>
      <c r="ER8" s="86">
        <f>EG8</f>
        <v>0.9</v>
      </c>
      <c r="ES8" s="86">
        <f t="shared" si="12"/>
        <v>0.14139190265868379</v>
      </c>
      <c r="ET8" s="86" t="str">
        <f t="shared" si="12"/>
        <v>12</v>
      </c>
      <c r="EU8" s="86" t="str">
        <f t="shared" si="12"/>
        <v>6</v>
      </c>
      <c r="EV8" s="86">
        <f t="shared" si="3"/>
        <v>0.11799951644342853</v>
      </c>
      <c r="EW8" s="86">
        <f t="shared" si="4"/>
        <v>0.33898443998435174</v>
      </c>
      <c r="EX8" s="86">
        <f t="shared" si="5"/>
        <v>0.3692782678155645</v>
      </c>
      <c r="EY8" s="86">
        <f t="shared" si="6"/>
        <v>0.96202531645569622</v>
      </c>
      <c r="EZ8" s="83">
        <f t="shared" si="7"/>
        <v>0.32611161314950293</v>
      </c>
      <c r="FA8" s="83">
        <f t="shared" si="8"/>
        <v>0.34176434464071476</v>
      </c>
      <c r="FB8" s="83">
        <f t="shared" si="9"/>
        <v>11</v>
      </c>
      <c r="FC8" s="82" t="s">
        <v>125</v>
      </c>
    </row>
    <row r="9" spans="1:159" s="82" customFormat="1" ht="17.100000000000001" customHeight="1">
      <c r="A9" s="78" t="s">
        <v>1825</v>
      </c>
      <c r="B9" s="81" t="s">
        <v>304</v>
      </c>
      <c r="C9" s="80" t="str">
        <f t="shared" si="10"/>
        <v>Berk, L. C.  2007.  The response of avian foraging guilds and plant communities to prescribed fire in the ponderosa pine forests of the United States Southwest. University of North Carolina at Chapel Hill (thesis). : .</v>
      </c>
      <c r="D9" s="81" t="s">
        <v>1490</v>
      </c>
      <c r="E9" s="81">
        <v>2007</v>
      </c>
      <c r="F9" s="79" t="s">
        <v>503</v>
      </c>
      <c r="G9" s="79" t="s">
        <v>504</v>
      </c>
      <c r="H9" s="81"/>
      <c r="I9" s="81"/>
      <c r="J9" s="79"/>
      <c r="K9" s="79" t="s">
        <v>505</v>
      </c>
      <c r="L9" s="82" t="s">
        <v>101</v>
      </c>
      <c r="M9" s="95" t="s">
        <v>163</v>
      </c>
      <c r="N9" s="82" t="s">
        <v>389</v>
      </c>
      <c r="P9" s="81" t="s">
        <v>16</v>
      </c>
      <c r="Q9" s="79" t="s">
        <v>506</v>
      </c>
      <c r="R9" s="79" t="s">
        <v>507</v>
      </c>
      <c r="S9" s="79"/>
      <c r="T9" s="79" t="s">
        <v>508</v>
      </c>
      <c r="U9" s="79" t="s">
        <v>509</v>
      </c>
      <c r="V9" s="81">
        <v>34.49</v>
      </c>
      <c r="W9" s="81">
        <v>-110.19</v>
      </c>
      <c r="X9" s="81"/>
      <c r="Y9" s="99" t="s">
        <v>1991</v>
      </c>
      <c r="Z9" s="66" t="s">
        <v>2201</v>
      </c>
      <c r="AA9" s="97" t="s">
        <v>49</v>
      </c>
      <c r="AB9" s="79" t="s">
        <v>64</v>
      </c>
      <c r="AC9" s="79" t="s">
        <v>235</v>
      </c>
      <c r="AD9" s="82" t="s">
        <v>64</v>
      </c>
      <c r="AF9" s="82" t="s">
        <v>64</v>
      </c>
      <c r="AG9" s="82" t="s">
        <v>92</v>
      </c>
      <c r="AH9" s="82" t="s">
        <v>106</v>
      </c>
      <c r="AI9" s="82" t="s">
        <v>276</v>
      </c>
      <c r="AJ9" s="86">
        <v>4</v>
      </c>
      <c r="AK9" s="86" t="s">
        <v>85</v>
      </c>
      <c r="AL9" s="86" t="s">
        <v>85</v>
      </c>
      <c r="AM9" s="84" t="s">
        <v>510</v>
      </c>
      <c r="AN9" s="84" t="s">
        <v>64</v>
      </c>
      <c r="AO9" s="84" t="s">
        <v>64</v>
      </c>
      <c r="AP9" s="68" t="s">
        <v>64</v>
      </c>
      <c r="AQ9" s="82" t="s">
        <v>94</v>
      </c>
      <c r="AR9" s="86">
        <v>1</v>
      </c>
      <c r="AS9" s="86" t="s">
        <v>511</v>
      </c>
      <c r="AT9" s="86"/>
      <c r="AU9" s="87"/>
      <c r="AV9" s="88">
        <v>0.2857142857142857</v>
      </c>
      <c r="AW9" s="82" t="s">
        <v>514</v>
      </c>
      <c r="AX9" s="82" t="s">
        <v>80</v>
      </c>
      <c r="AY9" s="86">
        <v>4</v>
      </c>
      <c r="AZ9" s="86">
        <v>1</v>
      </c>
      <c r="BA9" s="86" t="s">
        <v>511</v>
      </c>
      <c r="BB9" s="86"/>
      <c r="BC9" s="82" t="s">
        <v>514</v>
      </c>
      <c r="BD9" s="83" t="s">
        <v>124</v>
      </c>
      <c r="BE9" s="82" t="s">
        <v>182</v>
      </c>
      <c r="BF9" s="83" t="s">
        <v>111</v>
      </c>
      <c r="BG9" s="82" t="s">
        <v>21</v>
      </c>
      <c r="BH9" s="82" t="s">
        <v>81</v>
      </c>
      <c r="BI9" s="84" t="s">
        <v>64</v>
      </c>
      <c r="BJ9" s="89">
        <f>42/12</f>
        <v>3.5</v>
      </c>
      <c r="BK9" s="84" t="s">
        <v>513</v>
      </c>
      <c r="BL9" s="84" t="s">
        <v>513</v>
      </c>
      <c r="BM9" s="88">
        <v>3.5</v>
      </c>
      <c r="BN9" s="82" t="s">
        <v>389</v>
      </c>
      <c r="BO9" s="82" t="s">
        <v>512</v>
      </c>
      <c r="BP9" s="82" t="s">
        <v>517</v>
      </c>
      <c r="BR9" s="82" t="s">
        <v>518</v>
      </c>
      <c r="BS9" s="82" t="s">
        <v>70</v>
      </c>
      <c r="BT9" s="82" t="s">
        <v>72</v>
      </c>
      <c r="BU9" s="86">
        <v>33</v>
      </c>
      <c r="BV9" s="86">
        <v>2.86</v>
      </c>
      <c r="BW9" s="90">
        <v>5.72</v>
      </c>
      <c r="BX9" s="86">
        <v>4</v>
      </c>
      <c r="BY9" s="86">
        <v>4</v>
      </c>
      <c r="BZ9" s="82" t="s">
        <v>515</v>
      </c>
      <c r="CA9" s="82" t="s">
        <v>516</v>
      </c>
      <c r="CB9" s="82" t="s">
        <v>80</v>
      </c>
      <c r="CC9" s="100">
        <v>39</v>
      </c>
      <c r="CD9" s="100">
        <v>2.8</v>
      </c>
      <c r="CE9" s="90">
        <v>5.6</v>
      </c>
      <c r="CF9" s="86">
        <v>4</v>
      </c>
      <c r="CG9" s="86">
        <v>4</v>
      </c>
      <c r="CH9" s="82" t="s">
        <v>515</v>
      </c>
      <c r="CI9" s="82" t="s">
        <v>516</v>
      </c>
      <c r="CK9" s="86"/>
      <c r="CL9" s="86"/>
      <c r="CM9" s="86"/>
      <c r="CN9" s="86"/>
      <c r="CO9" s="86"/>
      <c r="CS9" s="86"/>
      <c r="CT9" s="86"/>
      <c r="CU9" s="86"/>
      <c r="CV9" s="86"/>
      <c r="CW9" s="86"/>
      <c r="DY9" s="86"/>
      <c r="DZ9" s="86"/>
      <c r="EA9" s="86"/>
      <c r="EB9" s="86"/>
      <c r="EC9" s="86"/>
      <c r="EG9" s="86"/>
      <c r="EH9" s="86"/>
      <c r="EI9" s="86"/>
      <c r="EJ9" s="86"/>
      <c r="EK9" s="86"/>
      <c r="EN9" s="86">
        <f t="shared" ref="EN9:EN21" si="13">BU9</f>
        <v>33</v>
      </c>
      <c r="EO9" s="90">
        <f t="shared" ref="EO9:EO21" si="14">BW9</f>
        <v>5.72</v>
      </c>
      <c r="EP9" s="86">
        <f t="shared" ref="EP9:EP21" si="15">BX9</f>
        <v>4</v>
      </c>
      <c r="EQ9" s="86">
        <f t="shared" ref="EQ9:EQ21" si="16">BY9</f>
        <v>4</v>
      </c>
      <c r="ER9" s="86">
        <f t="shared" ref="ER9:ER21" si="17">CC9</f>
        <v>39</v>
      </c>
      <c r="ES9" s="90">
        <f t="shared" ref="ES9:ES21" si="18">CE9</f>
        <v>5.6</v>
      </c>
      <c r="ET9" s="86">
        <f t="shared" ref="ET9:ET21" si="19">CF9</f>
        <v>4</v>
      </c>
      <c r="EU9" s="86">
        <f t="shared" ref="EU9:EU21" si="20">CG9</f>
        <v>4</v>
      </c>
      <c r="EV9" s="86">
        <f t="shared" si="3"/>
        <v>5.6603180122675081</v>
      </c>
      <c r="EW9" s="86">
        <f t="shared" si="4"/>
        <v>-1.0600111136858927</v>
      </c>
      <c r="EX9" s="86">
        <f t="shared" si="5"/>
        <v>0.57022647257110037</v>
      </c>
      <c r="EY9" s="86">
        <f t="shared" si="6"/>
        <v>0.86956521739130432</v>
      </c>
      <c r="EZ9" s="83">
        <f t="shared" si="7"/>
        <v>-0.92174879450947189</v>
      </c>
      <c r="FA9" s="83">
        <f t="shared" si="8"/>
        <v>0.43117313615962222</v>
      </c>
      <c r="FB9" s="83">
        <f t="shared" si="9"/>
        <v>8</v>
      </c>
      <c r="FC9" s="84" t="s">
        <v>125</v>
      </c>
    </row>
    <row r="10" spans="1:159" s="82" customFormat="1" ht="17.100000000000001" customHeight="1">
      <c r="A10" s="78" t="s">
        <v>1813</v>
      </c>
      <c r="B10" s="81" t="s">
        <v>1902</v>
      </c>
      <c r="C10" s="80" t="str">
        <f t="shared" si="10"/>
        <v>Blake, J. G., &amp; Schuette, B.  2000.  Restoration of an oak forest in east-central Missouri - Early effects of prescribed burning on woody vegetation.. Forest Ecology and Management. 139(1-3): 109-126.</v>
      </c>
      <c r="D10" s="81" t="s">
        <v>1483</v>
      </c>
      <c r="E10" s="81">
        <v>2000</v>
      </c>
      <c r="F10" s="81" t="s">
        <v>733</v>
      </c>
      <c r="G10" s="81" t="s">
        <v>20</v>
      </c>
      <c r="H10" s="81" t="s">
        <v>734</v>
      </c>
      <c r="I10" s="81" t="s">
        <v>735</v>
      </c>
      <c r="J10" s="81"/>
      <c r="K10" s="84" t="s">
        <v>736</v>
      </c>
      <c r="L10" s="84" t="s">
        <v>101</v>
      </c>
      <c r="M10" s="83" t="s">
        <v>73</v>
      </c>
      <c r="N10" s="84" t="s">
        <v>389</v>
      </c>
      <c r="O10" s="84"/>
      <c r="P10" s="81" t="s">
        <v>16</v>
      </c>
      <c r="Q10" s="84" t="s">
        <v>130</v>
      </c>
      <c r="R10" s="84" t="s">
        <v>131</v>
      </c>
      <c r="T10" s="81" t="s">
        <v>132</v>
      </c>
      <c r="U10" s="81" t="s">
        <v>133</v>
      </c>
      <c r="V10" s="81">
        <v>39</v>
      </c>
      <c r="W10" s="81">
        <v>-90.9</v>
      </c>
      <c r="X10" s="81"/>
      <c r="Y10" s="99" t="s">
        <v>1896</v>
      </c>
      <c r="Z10" s="66" t="s">
        <v>2203</v>
      </c>
      <c r="AA10" s="83" t="s">
        <v>97</v>
      </c>
      <c r="AB10" s="84" t="s">
        <v>103</v>
      </c>
      <c r="AC10" s="81" t="s">
        <v>235</v>
      </c>
      <c r="AD10" s="84"/>
      <c r="AE10" s="84"/>
      <c r="AF10" s="84" t="s">
        <v>156</v>
      </c>
      <c r="AG10" s="84" t="s">
        <v>91</v>
      </c>
      <c r="AH10" s="84" t="s">
        <v>106</v>
      </c>
      <c r="AI10" s="84" t="s">
        <v>93</v>
      </c>
      <c r="AJ10" s="86">
        <v>1</v>
      </c>
      <c r="AK10" s="87" t="s">
        <v>411</v>
      </c>
      <c r="AL10" s="87" t="s">
        <v>1593</v>
      </c>
      <c r="AM10" s="84" t="s">
        <v>737</v>
      </c>
      <c r="AN10" s="84" t="s">
        <v>738</v>
      </c>
      <c r="AO10" s="84" t="s">
        <v>2107</v>
      </c>
      <c r="AP10" s="68" t="s">
        <v>2229</v>
      </c>
      <c r="AQ10" s="84" t="s">
        <v>94</v>
      </c>
      <c r="AR10" s="86">
        <v>17</v>
      </c>
      <c r="AS10" s="86">
        <v>1</v>
      </c>
      <c r="AT10" s="86"/>
      <c r="AU10" s="90" t="s">
        <v>1165</v>
      </c>
      <c r="AV10" s="88">
        <v>0.51546391752577314</v>
      </c>
      <c r="AW10" s="84"/>
      <c r="AX10" s="84" t="s">
        <v>80</v>
      </c>
      <c r="AY10" s="86">
        <v>1</v>
      </c>
      <c r="AZ10" s="86">
        <v>17</v>
      </c>
      <c r="BA10" s="86">
        <v>1</v>
      </c>
      <c r="BB10" s="86"/>
      <c r="BC10" s="84" t="s">
        <v>739</v>
      </c>
      <c r="BD10" s="93" t="s">
        <v>124</v>
      </c>
      <c r="BE10" s="84" t="s">
        <v>182</v>
      </c>
      <c r="BF10" s="93" t="s">
        <v>112</v>
      </c>
      <c r="BG10" s="84" t="s">
        <v>21</v>
      </c>
      <c r="BH10" s="84" t="s">
        <v>81</v>
      </c>
      <c r="BI10" s="84" t="s">
        <v>740</v>
      </c>
      <c r="BJ10" s="89">
        <f>81.5/12</f>
        <v>6.791666666666667</v>
      </c>
      <c r="BK10" s="84" t="s">
        <v>741</v>
      </c>
      <c r="BL10" s="84" t="s">
        <v>1291</v>
      </c>
      <c r="BM10" s="88">
        <v>1.2083333333333333</v>
      </c>
      <c r="BN10" s="84" t="s">
        <v>379</v>
      </c>
      <c r="BO10" s="84" t="s">
        <v>742</v>
      </c>
      <c r="BP10" s="84" t="s">
        <v>64</v>
      </c>
      <c r="BQ10" s="84"/>
      <c r="BR10" s="81" t="s">
        <v>1767</v>
      </c>
      <c r="BS10" s="81" t="s">
        <v>2175</v>
      </c>
      <c r="BT10" s="84" t="s">
        <v>743</v>
      </c>
      <c r="BU10" s="86">
        <v>5.9</v>
      </c>
      <c r="BV10" s="86">
        <v>0.44</v>
      </c>
      <c r="BW10" s="101">
        <v>1.8141664752717708</v>
      </c>
      <c r="BX10" s="86">
        <v>17</v>
      </c>
      <c r="BY10" s="86">
        <v>17</v>
      </c>
      <c r="BZ10" s="84" t="s">
        <v>216</v>
      </c>
      <c r="CA10" s="84" t="s">
        <v>1363</v>
      </c>
      <c r="CB10" s="84" t="s">
        <v>80</v>
      </c>
      <c r="CC10" s="86">
        <v>8.9</v>
      </c>
      <c r="CD10" s="86">
        <v>0.75</v>
      </c>
      <c r="CE10" s="102">
        <v>3.0923292192132452</v>
      </c>
      <c r="CF10" s="86">
        <v>17</v>
      </c>
      <c r="CG10" s="86">
        <v>17</v>
      </c>
      <c r="CH10" s="84" t="s">
        <v>216</v>
      </c>
      <c r="CI10" s="84" t="s">
        <v>1363</v>
      </c>
      <c r="CJ10" s="84"/>
      <c r="CK10" s="86"/>
      <c r="CL10" s="86"/>
      <c r="CM10" s="86"/>
      <c r="CN10" s="86"/>
      <c r="CO10" s="86"/>
      <c r="CP10" s="84"/>
      <c r="CQ10" s="84"/>
      <c r="CR10" s="84"/>
      <c r="CS10" s="86"/>
      <c r="CT10" s="86"/>
      <c r="CU10" s="86"/>
      <c r="CV10" s="86"/>
      <c r="CW10" s="86"/>
      <c r="CX10" s="84"/>
      <c r="CY10" s="84"/>
      <c r="CZ10" s="84"/>
      <c r="DF10" s="84"/>
      <c r="DG10" s="84"/>
      <c r="DH10" s="84"/>
      <c r="DO10" s="84"/>
      <c r="DP10" s="84"/>
      <c r="DV10" s="84"/>
      <c r="DW10" s="84"/>
      <c r="DX10" s="84"/>
      <c r="DY10" s="86"/>
      <c r="DZ10" s="86"/>
      <c r="EA10" s="86"/>
      <c r="EB10" s="86"/>
      <c r="EC10" s="86"/>
      <c r="ED10" s="84"/>
      <c r="EE10" s="84"/>
      <c r="EF10" s="84"/>
      <c r="EG10" s="86"/>
      <c r="EH10" s="86"/>
      <c r="EI10" s="86"/>
      <c r="EJ10" s="86"/>
      <c r="EK10" s="86"/>
      <c r="EL10" s="84"/>
      <c r="EM10" s="84"/>
      <c r="EN10" s="86">
        <f t="shared" si="13"/>
        <v>5.9</v>
      </c>
      <c r="EO10" s="90">
        <f t="shared" si="14"/>
        <v>1.8141664752717708</v>
      </c>
      <c r="EP10" s="86">
        <f t="shared" si="15"/>
        <v>17</v>
      </c>
      <c r="EQ10" s="86">
        <f t="shared" si="16"/>
        <v>17</v>
      </c>
      <c r="ER10" s="86">
        <f t="shared" si="17"/>
        <v>8.9</v>
      </c>
      <c r="ES10" s="90">
        <f t="shared" si="18"/>
        <v>3.0923292192132452</v>
      </c>
      <c r="ET10" s="86">
        <f t="shared" si="19"/>
        <v>17</v>
      </c>
      <c r="EU10" s="86">
        <f t="shared" si="20"/>
        <v>17</v>
      </c>
      <c r="EV10" s="86">
        <f t="shared" si="3"/>
        <v>2.5351232711645402</v>
      </c>
      <c r="EW10" s="86">
        <f t="shared" si="4"/>
        <v>-1.1833744079126822</v>
      </c>
      <c r="EX10" s="86">
        <f t="shared" si="5"/>
        <v>0.13824080866621605</v>
      </c>
      <c r="EY10" s="86">
        <f t="shared" si="6"/>
        <v>0.97637795275590555</v>
      </c>
      <c r="EZ10" s="83">
        <f t="shared" si="7"/>
        <v>-1.1554206817415165</v>
      </c>
      <c r="FA10" s="83">
        <f t="shared" si="8"/>
        <v>0.13178688536497848</v>
      </c>
      <c r="FB10" s="83">
        <f t="shared" si="9"/>
        <v>34</v>
      </c>
      <c r="FC10" s="84" t="s">
        <v>125</v>
      </c>
    </row>
    <row r="11" spans="1:159" s="82" customFormat="1" ht="17.100000000000001" customHeight="1">
      <c r="A11" s="78" t="s">
        <v>1813</v>
      </c>
      <c r="B11" s="81" t="s">
        <v>1903</v>
      </c>
      <c r="C11" s="80" t="str">
        <f t="shared" si="10"/>
        <v>Blake, J. G., &amp; Schuette, B.  2000.  Restoration of an oak forest in east-central Missouri - Early effects of prescribed burning on woody vegetation.. Forest Ecology and Management. 139(1-3): 109-126.</v>
      </c>
      <c r="D11" s="81" t="s">
        <v>1483</v>
      </c>
      <c r="E11" s="81">
        <v>2000</v>
      </c>
      <c r="F11" s="81" t="s">
        <v>733</v>
      </c>
      <c r="G11" s="81" t="s">
        <v>20</v>
      </c>
      <c r="H11" s="81" t="s">
        <v>734</v>
      </c>
      <c r="I11" s="81" t="s">
        <v>735</v>
      </c>
      <c r="J11" s="81"/>
      <c r="K11" s="84" t="s">
        <v>736</v>
      </c>
      <c r="L11" s="84" t="s">
        <v>101</v>
      </c>
      <c r="M11" s="83" t="s">
        <v>73</v>
      </c>
      <c r="N11" s="84" t="s">
        <v>389</v>
      </c>
      <c r="O11" s="84"/>
      <c r="P11" s="81" t="s">
        <v>16</v>
      </c>
      <c r="Q11" s="84" t="s">
        <v>130</v>
      </c>
      <c r="R11" s="84" t="s">
        <v>131</v>
      </c>
      <c r="T11" s="81" t="s">
        <v>132</v>
      </c>
      <c r="U11" s="81" t="s">
        <v>133</v>
      </c>
      <c r="V11" s="81">
        <v>39</v>
      </c>
      <c r="W11" s="81">
        <v>-90.9</v>
      </c>
      <c r="X11" s="81"/>
      <c r="Y11" s="99" t="s">
        <v>1896</v>
      </c>
      <c r="Z11" s="66" t="s">
        <v>2203</v>
      </c>
      <c r="AA11" s="83" t="s">
        <v>97</v>
      </c>
      <c r="AB11" s="84" t="s">
        <v>103</v>
      </c>
      <c r="AC11" s="81" t="s">
        <v>235</v>
      </c>
      <c r="AD11" s="84"/>
      <c r="AE11" s="84"/>
      <c r="AF11" s="84" t="s">
        <v>156</v>
      </c>
      <c r="AG11" s="84" t="s">
        <v>91</v>
      </c>
      <c r="AH11" s="84" t="s">
        <v>106</v>
      </c>
      <c r="AI11" s="84" t="s">
        <v>93</v>
      </c>
      <c r="AJ11" s="86">
        <v>1</v>
      </c>
      <c r="AK11" s="87" t="s">
        <v>227</v>
      </c>
      <c r="AL11" s="87" t="s">
        <v>227</v>
      </c>
      <c r="AM11" s="84" t="s">
        <v>737</v>
      </c>
      <c r="AN11" s="84" t="s">
        <v>738</v>
      </c>
      <c r="AO11" s="84" t="s">
        <v>2107</v>
      </c>
      <c r="AP11" s="68" t="s">
        <v>2229</v>
      </c>
      <c r="AQ11" s="84" t="s">
        <v>94</v>
      </c>
      <c r="AR11" s="86">
        <v>17</v>
      </c>
      <c r="AS11" s="86">
        <v>1</v>
      </c>
      <c r="AT11" s="86"/>
      <c r="AU11" s="90" t="s">
        <v>181</v>
      </c>
      <c r="AV11" s="88">
        <v>0.61538461538461542</v>
      </c>
      <c r="AW11" s="84"/>
      <c r="AX11" s="84" t="s">
        <v>80</v>
      </c>
      <c r="AY11" s="86">
        <v>1</v>
      </c>
      <c r="AZ11" s="86">
        <v>17</v>
      </c>
      <c r="BA11" s="86">
        <v>1</v>
      </c>
      <c r="BB11" s="86"/>
      <c r="BC11" s="84" t="s">
        <v>739</v>
      </c>
      <c r="BD11" s="93" t="s">
        <v>124</v>
      </c>
      <c r="BE11" s="84" t="s">
        <v>182</v>
      </c>
      <c r="BF11" s="93" t="s">
        <v>112</v>
      </c>
      <c r="BG11" s="84" t="s">
        <v>21</v>
      </c>
      <c r="BH11" s="84" t="s">
        <v>81</v>
      </c>
      <c r="BI11" s="84" t="s">
        <v>740</v>
      </c>
      <c r="BJ11" s="89">
        <v>3.25</v>
      </c>
      <c r="BK11" s="84" t="s">
        <v>744</v>
      </c>
      <c r="BL11" s="84" t="s">
        <v>242</v>
      </c>
      <c r="BM11" s="88">
        <v>1.2916666666666667</v>
      </c>
      <c r="BN11" s="84" t="s">
        <v>379</v>
      </c>
      <c r="BO11" s="84" t="s">
        <v>742</v>
      </c>
      <c r="BP11" s="84" t="s">
        <v>64</v>
      </c>
      <c r="BQ11" s="84"/>
      <c r="BR11" s="81" t="s">
        <v>1767</v>
      </c>
      <c r="BS11" s="81" t="s">
        <v>2175</v>
      </c>
      <c r="BT11" s="84" t="s">
        <v>573</v>
      </c>
      <c r="BU11" s="86">
        <v>7.3</v>
      </c>
      <c r="BV11" s="86">
        <v>0.56000000000000005</v>
      </c>
      <c r="BW11" s="90">
        <v>2.30893915034589</v>
      </c>
      <c r="BX11" s="86">
        <v>17</v>
      </c>
      <c r="BY11" s="86">
        <v>17</v>
      </c>
      <c r="BZ11" s="84" t="s">
        <v>216</v>
      </c>
      <c r="CA11" s="84" t="s">
        <v>1363</v>
      </c>
      <c r="CB11" s="84" t="s">
        <v>80</v>
      </c>
      <c r="CC11" s="86">
        <v>8.9</v>
      </c>
      <c r="CD11" s="86">
        <v>0.75</v>
      </c>
      <c r="CE11" s="90">
        <v>3.0923292192132452</v>
      </c>
      <c r="CF11" s="86">
        <v>17</v>
      </c>
      <c r="CG11" s="86">
        <v>17</v>
      </c>
      <c r="CH11" s="84" t="s">
        <v>216</v>
      </c>
      <c r="CI11" s="84" t="s">
        <v>1363</v>
      </c>
      <c r="CJ11" s="84"/>
      <c r="CK11" s="86"/>
      <c r="CL11" s="86"/>
      <c r="CM11" s="86"/>
      <c r="CN11" s="86"/>
      <c r="CO11" s="86"/>
      <c r="CP11" s="84"/>
      <c r="CQ11" s="84"/>
      <c r="CR11" s="84"/>
      <c r="CS11" s="86"/>
      <c r="CT11" s="86"/>
      <c r="CU11" s="86"/>
      <c r="CV11" s="86"/>
      <c r="CW11" s="86"/>
      <c r="CX11" s="84"/>
      <c r="CY11" s="84"/>
      <c r="CZ11" s="84"/>
      <c r="DF11" s="84"/>
      <c r="DG11" s="84"/>
      <c r="DH11" s="84"/>
      <c r="DO11" s="84"/>
      <c r="DP11" s="84"/>
      <c r="DV11" s="84"/>
      <c r="DW11" s="84"/>
      <c r="DX11" s="84"/>
      <c r="DY11" s="86"/>
      <c r="DZ11" s="86"/>
      <c r="EA11" s="86"/>
      <c r="EB11" s="86"/>
      <c r="EC11" s="86"/>
      <c r="ED11" s="84"/>
      <c r="EE11" s="84"/>
      <c r="EF11" s="84"/>
      <c r="EG11" s="86"/>
      <c r="EH11" s="86"/>
      <c r="EI11" s="86"/>
      <c r="EJ11" s="86"/>
      <c r="EK11" s="86"/>
      <c r="EL11" s="84"/>
      <c r="EM11" s="84"/>
      <c r="EN11" s="86">
        <f t="shared" si="13"/>
        <v>7.3</v>
      </c>
      <c r="EO11" s="90">
        <f t="shared" si="14"/>
        <v>2.30893915034589</v>
      </c>
      <c r="EP11" s="86">
        <f t="shared" si="15"/>
        <v>17</v>
      </c>
      <c r="EQ11" s="86">
        <f t="shared" si="16"/>
        <v>17</v>
      </c>
      <c r="ER11" s="86">
        <f t="shared" si="17"/>
        <v>8.9</v>
      </c>
      <c r="ES11" s="90">
        <f t="shared" si="18"/>
        <v>3.0923292192132452</v>
      </c>
      <c r="ET11" s="86">
        <f t="shared" si="19"/>
        <v>17</v>
      </c>
      <c r="EU11" s="86">
        <f t="shared" si="20"/>
        <v>17</v>
      </c>
      <c r="EV11" s="86">
        <f t="shared" si="3"/>
        <v>2.72889171642995</v>
      </c>
      <c r="EW11" s="86">
        <f t="shared" si="4"/>
        <v>-0.58631861072640412</v>
      </c>
      <c r="EX11" s="86">
        <f t="shared" si="5"/>
        <v>0.12270249284241383</v>
      </c>
      <c r="EY11" s="86">
        <f t="shared" si="6"/>
        <v>0.97637795275590555</v>
      </c>
      <c r="EZ11" s="83">
        <f t="shared" si="7"/>
        <v>-0.5724685648037332</v>
      </c>
      <c r="FA11" s="83">
        <f t="shared" si="8"/>
        <v>0.11697399280457284</v>
      </c>
      <c r="FB11" s="83">
        <f t="shared" si="9"/>
        <v>34</v>
      </c>
      <c r="FC11" s="84" t="s">
        <v>125</v>
      </c>
    </row>
    <row r="12" spans="1:159" s="82" customFormat="1" ht="17.100000000000001" customHeight="1">
      <c r="A12" s="78" t="s">
        <v>1786</v>
      </c>
      <c r="B12" s="82" t="s">
        <v>1407</v>
      </c>
      <c r="C12" s="80" t="str">
        <f t="shared" si="10"/>
        <v>Blake, J. G.  2005.  Effects of prescribed burning on distribution and abundance of birds in a closed-canopy oak-dominated forest, Missouri, USA. Biological Conservation. 121: 519-531.</v>
      </c>
      <c r="D12" s="82" t="s">
        <v>1458</v>
      </c>
      <c r="E12" s="81">
        <v>2005</v>
      </c>
      <c r="F12" s="79" t="s">
        <v>126</v>
      </c>
      <c r="G12" s="79" t="s">
        <v>127</v>
      </c>
      <c r="H12" s="81">
        <v>121</v>
      </c>
      <c r="I12" s="81" t="s">
        <v>128</v>
      </c>
      <c r="K12" s="79" t="s">
        <v>129</v>
      </c>
      <c r="L12" s="82" t="s">
        <v>101</v>
      </c>
      <c r="M12" s="83" t="s">
        <v>73</v>
      </c>
      <c r="N12" s="82" t="s">
        <v>389</v>
      </c>
      <c r="P12" s="81" t="s">
        <v>16</v>
      </c>
      <c r="Q12" s="79" t="s">
        <v>130</v>
      </c>
      <c r="R12" s="79" t="s">
        <v>131</v>
      </c>
      <c r="T12" s="79" t="s">
        <v>132</v>
      </c>
      <c r="U12" s="79" t="s">
        <v>133</v>
      </c>
      <c r="V12" s="81">
        <v>39</v>
      </c>
      <c r="W12" s="81">
        <v>-90.9</v>
      </c>
      <c r="X12" s="84"/>
      <c r="Y12" s="85" t="s">
        <v>1896</v>
      </c>
      <c r="Z12" s="66" t="s">
        <v>2203</v>
      </c>
      <c r="AA12" s="83" t="s">
        <v>555</v>
      </c>
      <c r="AB12" s="82" t="s">
        <v>237</v>
      </c>
      <c r="AC12" s="82" t="s">
        <v>99</v>
      </c>
      <c r="AD12" s="82" t="s">
        <v>64</v>
      </c>
      <c r="AF12" s="82" t="s">
        <v>156</v>
      </c>
      <c r="AG12" s="82" t="s">
        <v>92</v>
      </c>
      <c r="AH12" s="82" t="s">
        <v>106</v>
      </c>
      <c r="AI12" s="82" t="s">
        <v>93</v>
      </c>
      <c r="AJ12" s="86">
        <v>2</v>
      </c>
      <c r="AK12" s="86" t="s">
        <v>145</v>
      </c>
      <c r="AL12" s="86">
        <v>6</v>
      </c>
      <c r="AM12" s="84" t="s">
        <v>64</v>
      </c>
      <c r="AN12" s="84" t="s">
        <v>530</v>
      </c>
      <c r="AO12" s="84" t="s">
        <v>526</v>
      </c>
      <c r="AP12" s="68" t="s">
        <v>2229</v>
      </c>
      <c r="AQ12" s="82" t="s">
        <v>94</v>
      </c>
      <c r="AR12" s="86">
        <v>1</v>
      </c>
      <c r="AS12" s="86">
        <v>17</v>
      </c>
      <c r="AT12" s="86"/>
      <c r="AU12" s="87" t="s">
        <v>1177</v>
      </c>
      <c r="AV12" s="88">
        <v>0.54545454545454541</v>
      </c>
      <c r="AW12" s="82" t="s">
        <v>1158</v>
      </c>
      <c r="AX12" s="82" t="s">
        <v>80</v>
      </c>
      <c r="AY12" s="86">
        <v>2</v>
      </c>
      <c r="AZ12" s="86">
        <v>1</v>
      </c>
      <c r="BA12" s="86" t="s">
        <v>228</v>
      </c>
      <c r="BB12" s="86"/>
      <c r="BD12" s="83" t="s">
        <v>124</v>
      </c>
      <c r="BE12" s="82" t="s">
        <v>182</v>
      </c>
      <c r="BF12" s="83" t="s">
        <v>111</v>
      </c>
      <c r="BG12" s="82" t="s">
        <v>21</v>
      </c>
      <c r="BH12" s="82" t="s">
        <v>81</v>
      </c>
      <c r="BI12" s="84" t="s">
        <v>153</v>
      </c>
      <c r="BJ12" s="89">
        <f>132/12</f>
        <v>11</v>
      </c>
      <c r="BK12" s="84" t="s">
        <v>146</v>
      </c>
      <c r="BL12" s="84" t="s">
        <v>1306</v>
      </c>
      <c r="BM12" s="88">
        <v>1.3333333333333333</v>
      </c>
      <c r="BN12" s="82" t="s">
        <v>389</v>
      </c>
      <c r="BO12" s="82" t="s">
        <v>70</v>
      </c>
      <c r="BP12" s="82" t="s">
        <v>148</v>
      </c>
      <c r="BR12" s="82" t="s">
        <v>1307</v>
      </c>
      <c r="BS12" s="82" t="s">
        <v>70</v>
      </c>
      <c r="BT12" s="82" t="s">
        <v>1234</v>
      </c>
      <c r="BU12" s="86">
        <v>12.2</v>
      </c>
      <c r="BV12" s="86">
        <v>1.7</v>
      </c>
      <c r="BW12" s="90">
        <v>2.41</v>
      </c>
      <c r="BX12" s="86">
        <v>2</v>
      </c>
      <c r="BY12" s="86">
        <v>2</v>
      </c>
      <c r="BZ12" s="82" t="s">
        <v>147</v>
      </c>
      <c r="CA12" s="82" t="s">
        <v>1308</v>
      </c>
      <c r="CB12" s="82" t="s">
        <v>80</v>
      </c>
      <c r="CC12" s="86">
        <v>12.3</v>
      </c>
      <c r="CD12" s="86">
        <v>1.2</v>
      </c>
      <c r="CE12" s="90">
        <v>1.7</v>
      </c>
      <c r="CF12" s="86">
        <v>2</v>
      </c>
      <c r="CG12" s="86">
        <v>2</v>
      </c>
      <c r="CH12" s="82" t="s">
        <v>147</v>
      </c>
      <c r="CI12" s="82" t="s">
        <v>1309</v>
      </c>
      <c r="CK12" s="86"/>
      <c r="CL12" s="86"/>
      <c r="CM12" s="86"/>
      <c r="CN12" s="86"/>
      <c r="CO12" s="86"/>
      <c r="CS12" s="86"/>
      <c r="CT12" s="86"/>
      <c r="CU12" s="86"/>
      <c r="CV12" s="86"/>
      <c r="CW12" s="86"/>
      <c r="DY12" s="86"/>
      <c r="DZ12" s="86"/>
      <c r="EA12" s="86"/>
      <c r="EB12" s="86"/>
      <c r="EC12" s="86"/>
      <c r="EG12" s="86"/>
      <c r="EH12" s="86"/>
      <c r="EI12" s="86"/>
      <c r="EJ12" s="86"/>
      <c r="EK12" s="86"/>
      <c r="EN12" s="86">
        <f t="shared" si="13"/>
        <v>12.2</v>
      </c>
      <c r="EO12" s="90">
        <f t="shared" si="14"/>
        <v>2.41</v>
      </c>
      <c r="EP12" s="86">
        <f t="shared" si="15"/>
        <v>2</v>
      </c>
      <c r="EQ12" s="86">
        <f t="shared" si="16"/>
        <v>2</v>
      </c>
      <c r="ER12" s="86">
        <f t="shared" si="17"/>
        <v>12.3</v>
      </c>
      <c r="ES12" s="90">
        <f t="shared" si="18"/>
        <v>1.7</v>
      </c>
      <c r="ET12" s="86">
        <f t="shared" si="19"/>
        <v>2</v>
      </c>
      <c r="EU12" s="86">
        <f t="shared" si="20"/>
        <v>2</v>
      </c>
      <c r="EV12" s="86">
        <f t="shared" si="3"/>
        <v>2.0854376039575002</v>
      </c>
      <c r="EW12" s="86">
        <f t="shared" si="4"/>
        <v>-4.7951566525046389E-2</v>
      </c>
      <c r="EX12" s="86">
        <f t="shared" si="5"/>
        <v>1.0002874190915259</v>
      </c>
      <c r="EY12" s="86">
        <f t="shared" si="6"/>
        <v>0.5714285714285714</v>
      </c>
      <c r="EZ12" s="83">
        <f t="shared" si="7"/>
        <v>-2.7400895157169362E-2</v>
      </c>
      <c r="FA12" s="83">
        <f t="shared" si="8"/>
        <v>0.32662446337682477</v>
      </c>
      <c r="FB12" s="83">
        <f t="shared" si="9"/>
        <v>4</v>
      </c>
      <c r="FC12" s="82" t="s">
        <v>125</v>
      </c>
    </row>
    <row r="13" spans="1:159" s="82" customFormat="1" ht="17.100000000000001" customHeight="1">
      <c r="A13" s="78" t="s">
        <v>1793</v>
      </c>
      <c r="B13" s="82" t="s">
        <v>344</v>
      </c>
      <c r="C13" s="80" t="str">
        <f t="shared" si="10"/>
        <v>Bowles, M. L., Jacobs, K. A., &amp; Mengler, J. L. 2007.  Long-term changes in an oak forest's woody understory and herb layer with repeated burning. Journal of the Torrey Botanical Society. 134: 223-237.</v>
      </c>
      <c r="D13" s="82" t="s">
        <v>1464</v>
      </c>
      <c r="E13" s="81">
        <v>2007</v>
      </c>
      <c r="F13" s="79" t="s">
        <v>330</v>
      </c>
      <c r="G13" s="79" t="s">
        <v>331</v>
      </c>
      <c r="H13" s="81">
        <v>134</v>
      </c>
      <c r="I13" s="81" t="s">
        <v>332</v>
      </c>
      <c r="J13" s="79" t="s">
        <v>1578</v>
      </c>
      <c r="K13" s="79" t="s">
        <v>333</v>
      </c>
      <c r="L13" s="79" t="s">
        <v>101</v>
      </c>
      <c r="M13" s="83" t="s">
        <v>73</v>
      </c>
      <c r="N13" s="82" t="s">
        <v>389</v>
      </c>
      <c r="P13" s="81" t="s">
        <v>16</v>
      </c>
      <c r="Q13" s="79" t="s">
        <v>334</v>
      </c>
      <c r="R13" s="79" t="s">
        <v>335</v>
      </c>
      <c r="S13" s="79"/>
      <c r="T13" s="79" t="s">
        <v>336</v>
      </c>
      <c r="U13" s="79" t="s">
        <v>337</v>
      </c>
      <c r="V13" s="81">
        <v>41.81</v>
      </c>
      <c r="W13" s="81">
        <v>-88.05</v>
      </c>
      <c r="X13" s="81"/>
      <c r="Y13" s="66" t="s">
        <v>1896</v>
      </c>
      <c r="Z13" s="66" t="s">
        <v>2203</v>
      </c>
      <c r="AA13" s="97" t="s">
        <v>555</v>
      </c>
      <c r="AB13" s="79" t="s">
        <v>103</v>
      </c>
      <c r="AC13" s="79" t="s">
        <v>64</v>
      </c>
      <c r="AD13" s="79" t="s">
        <v>64</v>
      </c>
      <c r="AE13" s="79"/>
      <c r="AF13" s="82" t="s">
        <v>156</v>
      </c>
      <c r="AG13" s="82" t="s">
        <v>92</v>
      </c>
      <c r="AH13" s="82" t="s">
        <v>64</v>
      </c>
      <c r="AI13" s="82" t="s">
        <v>276</v>
      </c>
      <c r="AJ13" s="86">
        <v>1</v>
      </c>
      <c r="AK13" s="86">
        <v>17</v>
      </c>
      <c r="AL13" s="86">
        <v>17</v>
      </c>
      <c r="AM13" s="84" t="s">
        <v>338</v>
      </c>
      <c r="AN13" s="84" t="s">
        <v>527</v>
      </c>
      <c r="AO13" s="84" t="s">
        <v>2107</v>
      </c>
      <c r="AP13" s="68" t="s">
        <v>2229</v>
      </c>
      <c r="AQ13" s="82" t="s">
        <v>88</v>
      </c>
      <c r="AR13" s="86">
        <v>2</v>
      </c>
      <c r="AS13" s="86">
        <v>5</v>
      </c>
      <c r="AT13" s="86">
        <v>3</v>
      </c>
      <c r="AU13" s="90">
        <v>17</v>
      </c>
      <c r="AV13" s="88">
        <v>1.0625</v>
      </c>
      <c r="AW13" s="82" t="s">
        <v>1336</v>
      </c>
      <c r="AX13" s="82" t="s">
        <v>80</v>
      </c>
      <c r="AY13" s="86">
        <v>1</v>
      </c>
      <c r="AZ13" s="86">
        <v>2</v>
      </c>
      <c r="BA13" s="86">
        <v>5</v>
      </c>
      <c r="BB13" s="86">
        <v>3</v>
      </c>
      <c r="BC13" s="82" t="s">
        <v>1337</v>
      </c>
      <c r="BD13" s="83" t="s">
        <v>391</v>
      </c>
      <c r="BE13" s="82" t="s">
        <v>390</v>
      </c>
      <c r="BF13" s="83" t="s">
        <v>121</v>
      </c>
      <c r="BG13" s="82" t="s">
        <v>21</v>
      </c>
      <c r="BH13" s="82" t="s">
        <v>22</v>
      </c>
      <c r="BI13" s="84" t="s">
        <v>341</v>
      </c>
      <c r="BJ13" s="89">
        <f t="shared" ref="BJ13:BJ18" si="21">BK13/12</f>
        <v>16</v>
      </c>
      <c r="BK13" s="84">
        <v>192</v>
      </c>
      <c r="BL13" s="84" t="s">
        <v>1299</v>
      </c>
      <c r="BM13" s="88">
        <v>0.25</v>
      </c>
      <c r="BN13" s="82" t="s">
        <v>379</v>
      </c>
      <c r="BO13" s="82" t="s">
        <v>342</v>
      </c>
      <c r="BP13" s="82" t="s">
        <v>64</v>
      </c>
      <c r="BQ13" s="82" t="s">
        <v>1287</v>
      </c>
      <c r="BR13" s="82" t="s">
        <v>1237</v>
      </c>
      <c r="BS13" s="82" t="s">
        <v>2192</v>
      </c>
      <c r="BT13" s="82" t="s">
        <v>1235</v>
      </c>
      <c r="BU13" s="90">
        <v>4.9800000000000004</v>
      </c>
      <c r="BV13" s="90">
        <v>1.21</v>
      </c>
      <c r="BW13" s="90">
        <v>1.21</v>
      </c>
      <c r="BX13" s="86">
        <v>10</v>
      </c>
      <c r="BY13" s="86">
        <v>10</v>
      </c>
      <c r="BZ13" s="82" t="s">
        <v>147</v>
      </c>
      <c r="CA13" s="82" t="s">
        <v>2193</v>
      </c>
      <c r="CB13" s="82" t="s">
        <v>80</v>
      </c>
      <c r="CC13" s="90">
        <v>2.64</v>
      </c>
      <c r="CD13" s="90">
        <v>0.81399999999999995</v>
      </c>
      <c r="CE13" s="90">
        <v>0.81399999999999995</v>
      </c>
      <c r="CF13" s="86">
        <v>10</v>
      </c>
      <c r="CG13" s="86">
        <v>10</v>
      </c>
      <c r="CH13" s="82" t="s">
        <v>147</v>
      </c>
      <c r="CI13" s="82" t="s">
        <v>1335</v>
      </c>
      <c r="CK13" s="86"/>
      <c r="CL13" s="86"/>
      <c r="CM13" s="86"/>
      <c r="CN13" s="86"/>
      <c r="CO13" s="86"/>
      <c r="CS13" s="86"/>
      <c r="CT13" s="86"/>
      <c r="CU13" s="86"/>
      <c r="CV13" s="86"/>
      <c r="CW13" s="86"/>
      <c r="DY13" s="86"/>
      <c r="DZ13" s="86"/>
      <c r="EA13" s="86"/>
      <c r="EB13" s="86"/>
      <c r="EC13" s="86"/>
      <c r="EG13" s="86"/>
      <c r="EH13" s="86"/>
      <c r="EI13" s="86"/>
      <c r="EJ13" s="86"/>
      <c r="EK13" s="86"/>
      <c r="EN13" s="86">
        <f t="shared" si="13"/>
        <v>4.9800000000000004</v>
      </c>
      <c r="EO13" s="90">
        <f t="shared" si="14"/>
        <v>1.21</v>
      </c>
      <c r="EP13" s="86">
        <f t="shared" si="15"/>
        <v>10</v>
      </c>
      <c r="EQ13" s="86">
        <f t="shared" si="16"/>
        <v>10</v>
      </c>
      <c r="ER13" s="86">
        <f t="shared" si="17"/>
        <v>2.64</v>
      </c>
      <c r="ES13" s="90">
        <f t="shared" si="18"/>
        <v>0.81399999999999995</v>
      </c>
      <c r="ET13" s="86">
        <f t="shared" si="19"/>
        <v>10</v>
      </c>
      <c r="EU13" s="86">
        <f t="shared" si="20"/>
        <v>10</v>
      </c>
      <c r="EV13" s="86">
        <f t="shared" si="3"/>
        <v>1.031187664782701</v>
      </c>
      <c r="EW13" s="86">
        <f t="shared" si="4"/>
        <v>2.2692280754668466</v>
      </c>
      <c r="EX13" s="86">
        <f t="shared" si="5"/>
        <v>0.32873490146217421</v>
      </c>
      <c r="EY13" s="86">
        <f t="shared" si="6"/>
        <v>0.95774647887323949</v>
      </c>
      <c r="EZ13" s="83">
        <f t="shared" si="7"/>
        <v>2.1733451990386703</v>
      </c>
      <c r="FA13" s="83">
        <f t="shared" si="8"/>
        <v>0.30154139741342861</v>
      </c>
      <c r="FB13" s="83">
        <f t="shared" si="9"/>
        <v>20</v>
      </c>
      <c r="FC13" s="82" t="s">
        <v>125</v>
      </c>
    </row>
    <row r="14" spans="1:159" s="82" customFormat="1" ht="17.100000000000001" customHeight="1">
      <c r="A14" s="78" t="s">
        <v>1792</v>
      </c>
      <c r="B14" s="82" t="s">
        <v>284</v>
      </c>
      <c r="C14" s="80" t="str">
        <f t="shared" si="10"/>
        <v>Brand, R. H. 2002.  The effect of prescribed burning on epigeic springtails (Insecta: Collembola) of woodland litter. American Midland Naturalist. 148: 383-393.</v>
      </c>
      <c r="D14" s="82" t="s">
        <v>1465</v>
      </c>
      <c r="E14" s="81">
        <v>2002</v>
      </c>
      <c r="F14" s="79" t="s">
        <v>347</v>
      </c>
      <c r="G14" s="79" t="s">
        <v>348</v>
      </c>
      <c r="H14" s="81">
        <v>148</v>
      </c>
      <c r="I14" s="81" t="s">
        <v>349</v>
      </c>
      <c r="J14" s="79" t="s">
        <v>1579</v>
      </c>
      <c r="K14" s="79" t="s">
        <v>350</v>
      </c>
      <c r="L14" s="79" t="s">
        <v>101</v>
      </c>
      <c r="M14" s="83" t="s">
        <v>73</v>
      </c>
      <c r="N14" s="82" t="s">
        <v>389</v>
      </c>
      <c r="O14" s="82" t="s">
        <v>352</v>
      </c>
      <c r="P14" s="81" t="s">
        <v>16</v>
      </c>
      <c r="Q14" s="79" t="s">
        <v>334</v>
      </c>
      <c r="R14" s="79" t="s">
        <v>335</v>
      </c>
      <c r="S14" s="79"/>
      <c r="T14" s="79" t="s">
        <v>336</v>
      </c>
      <c r="U14" s="79" t="s">
        <v>337</v>
      </c>
      <c r="V14" s="81">
        <v>41.81</v>
      </c>
      <c r="W14" s="81">
        <v>-88.05</v>
      </c>
      <c r="X14" s="103"/>
      <c r="Y14" s="66" t="s">
        <v>1896</v>
      </c>
      <c r="Z14" s="66" t="s">
        <v>2203</v>
      </c>
      <c r="AA14" s="97" t="s">
        <v>555</v>
      </c>
      <c r="AB14" s="79" t="s">
        <v>103</v>
      </c>
      <c r="AC14" s="79" t="s">
        <v>235</v>
      </c>
      <c r="AD14" s="79" t="s">
        <v>64</v>
      </c>
      <c r="AE14" s="79"/>
      <c r="AF14" s="82" t="s">
        <v>156</v>
      </c>
      <c r="AG14" s="82" t="s">
        <v>92</v>
      </c>
      <c r="AH14" s="82" t="s">
        <v>106</v>
      </c>
      <c r="AI14" s="82" t="s">
        <v>276</v>
      </c>
      <c r="AJ14" s="86">
        <v>1</v>
      </c>
      <c r="AK14" s="86">
        <v>11</v>
      </c>
      <c r="AL14" s="86">
        <v>11</v>
      </c>
      <c r="AM14" s="84" t="s">
        <v>338</v>
      </c>
      <c r="AN14" s="84" t="s">
        <v>64</v>
      </c>
      <c r="AO14" s="84" t="s">
        <v>64</v>
      </c>
      <c r="AP14" s="68" t="s">
        <v>64</v>
      </c>
      <c r="AQ14" s="82" t="s">
        <v>94</v>
      </c>
      <c r="AR14" s="86">
        <v>1</v>
      </c>
      <c r="AS14" s="86">
        <v>12</v>
      </c>
      <c r="AT14" s="86" t="s">
        <v>64</v>
      </c>
      <c r="AU14" s="90">
        <v>16</v>
      </c>
      <c r="AV14" s="88">
        <v>1</v>
      </c>
      <c r="AX14" s="82" t="s">
        <v>80</v>
      </c>
      <c r="AY14" s="86">
        <v>1</v>
      </c>
      <c r="AZ14" s="86">
        <v>1</v>
      </c>
      <c r="BA14" s="86">
        <v>13</v>
      </c>
      <c r="BB14" s="86" t="s">
        <v>64</v>
      </c>
      <c r="BD14" s="83" t="s">
        <v>124</v>
      </c>
      <c r="BE14" s="82" t="s">
        <v>182</v>
      </c>
      <c r="BF14" s="83" t="s">
        <v>119</v>
      </c>
      <c r="BG14" s="82" t="s">
        <v>21</v>
      </c>
      <c r="BH14" s="82" t="s">
        <v>81</v>
      </c>
      <c r="BI14" s="84" t="s">
        <v>225</v>
      </c>
      <c r="BJ14" s="89">
        <f t="shared" si="21"/>
        <v>11</v>
      </c>
      <c r="BK14" s="84">
        <v>132</v>
      </c>
      <c r="BL14" s="84" t="s">
        <v>1295</v>
      </c>
      <c r="BM14" s="88">
        <v>0.58333333333333337</v>
      </c>
      <c r="BN14" s="82" t="s">
        <v>389</v>
      </c>
      <c r="BO14" s="82" t="s">
        <v>219</v>
      </c>
      <c r="BP14" s="82" t="s">
        <v>1159</v>
      </c>
      <c r="BR14" s="82" t="s">
        <v>1296</v>
      </c>
      <c r="BS14" s="82" t="s">
        <v>2166</v>
      </c>
      <c r="BT14" s="82" t="s">
        <v>1297</v>
      </c>
      <c r="BU14" s="86">
        <v>10.199999999999999</v>
      </c>
      <c r="BV14" s="86">
        <v>0.8</v>
      </c>
      <c r="BW14" s="90">
        <v>2.77</v>
      </c>
      <c r="BX14" s="86">
        <v>12</v>
      </c>
      <c r="BY14" s="86">
        <v>12</v>
      </c>
      <c r="BZ14" s="82" t="s">
        <v>351</v>
      </c>
      <c r="CA14" s="82" t="s">
        <v>1298</v>
      </c>
      <c r="CB14" s="82" t="s">
        <v>80</v>
      </c>
      <c r="CC14" s="86">
        <v>10.1</v>
      </c>
      <c r="CD14" s="86">
        <v>0.5</v>
      </c>
      <c r="CE14" s="90">
        <v>1.8</v>
      </c>
      <c r="CF14" s="86">
        <v>13</v>
      </c>
      <c r="CG14" s="86">
        <v>13</v>
      </c>
      <c r="CH14" s="82" t="s">
        <v>351</v>
      </c>
      <c r="CI14" s="82" t="s">
        <v>1338</v>
      </c>
      <c r="CK14" s="86"/>
      <c r="CL14" s="86"/>
      <c r="CM14" s="86"/>
      <c r="CN14" s="86"/>
      <c r="CO14" s="86"/>
      <c r="CS14" s="86"/>
      <c r="CT14" s="86"/>
      <c r="CU14" s="86"/>
      <c r="CV14" s="86"/>
      <c r="CW14" s="86"/>
      <c r="DY14" s="86"/>
      <c r="DZ14" s="86"/>
      <c r="EA14" s="86"/>
      <c r="EB14" s="86"/>
      <c r="EC14" s="86"/>
      <c r="EG14" s="86"/>
      <c r="EH14" s="86"/>
      <c r="EI14" s="86"/>
      <c r="EJ14" s="86"/>
      <c r="EK14" s="86"/>
      <c r="EN14" s="86">
        <f t="shared" si="13"/>
        <v>10.199999999999999</v>
      </c>
      <c r="EO14" s="90">
        <f t="shared" si="14"/>
        <v>2.77</v>
      </c>
      <c r="EP14" s="86">
        <f t="shared" si="15"/>
        <v>12</v>
      </c>
      <c r="EQ14" s="86">
        <f t="shared" si="16"/>
        <v>12</v>
      </c>
      <c r="ER14" s="86">
        <f t="shared" si="17"/>
        <v>10.1</v>
      </c>
      <c r="ES14" s="90">
        <f t="shared" si="18"/>
        <v>1.8</v>
      </c>
      <c r="ET14" s="86">
        <f t="shared" si="19"/>
        <v>13</v>
      </c>
      <c r="EU14" s="86">
        <f t="shared" si="20"/>
        <v>13</v>
      </c>
      <c r="EV14" s="86">
        <f t="shared" si="3"/>
        <v>2.3151852212502679</v>
      </c>
      <c r="EW14" s="86">
        <f t="shared" si="4"/>
        <v>4.3193088432897264E-2</v>
      </c>
      <c r="EX14" s="86">
        <f t="shared" si="5"/>
        <v>0.16029372311417772</v>
      </c>
      <c r="EY14" s="86">
        <f t="shared" si="6"/>
        <v>0.96703296703296704</v>
      </c>
      <c r="EZ14" s="83">
        <f t="shared" si="7"/>
        <v>4.1769140462581969E-2</v>
      </c>
      <c r="FA14" s="83">
        <f t="shared" si="8"/>
        <v>0.14989911747327525</v>
      </c>
      <c r="FB14" s="83">
        <f t="shared" si="9"/>
        <v>25</v>
      </c>
      <c r="FC14" s="82" t="s">
        <v>125</v>
      </c>
    </row>
    <row r="15" spans="1:159" s="82" customFormat="1" ht="17.100000000000001" customHeight="1">
      <c r="A15" s="78" t="s">
        <v>1841</v>
      </c>
      <c r="B15" s="96" t="s">
        <v>1417</v>
      </c>
      <c r="C15" s="80" t="str">
        <f t="shared" si="10"/>
        <v>Busse, M. D., Cochran, P. H., Hopkins, W. E., Johnson, W. H., Riegel, G. M., Fiddler, G. O., Ratcliff, A.W. &amp; Shestak, C. J.  2009.  Developing resilient ponderosa pine forests with mechanical thinning and prescribed fire in central Oregon′s pumice region. Canadian Journal of Forest Research. 39: 1171-1185.</v>
      </c>
      <c r="D15" s="91" t="s">
        <v>1508</v>
      </c>
      <c r="E15" s="91">
        <v>2009</v>
      </c>
      <c r="F15" s="96" t="s">
        <v>1016</v>
      </c>
      <c r="G15" s="96" t="s">
        <v>173</v>
      </c>
      <c r="H15" s="91">
        <v>39</v>
      </c>
      <c r="I15" s="92" t="s">
        <v>1017</v>
      </c>
      <c r="J15" s="79"/>
      <c r="K15" s="96" t="s">
        <v>1018</v>
      </c>
      <c r="L15" s="82" t="s">
        <v>101</v>
      </c>
      <c r="M15" s="95" t="s">
        <v>73</v>
      </c>
      <c r="N15" s="82" t="s">
        <v>389</v>
      </c>
      <c r="O15" s="82" t="s">
        <v>992</v>
      </c>
      <c r="P15" s="91" t="s">
        <v>16</v>
      </c>
      <c r="Q15" s="96" t="s">
        <v>587</v>
      </c>
      <c r="R15" s="96" t="s">
        <v>1019</v>
      </c>
      <c r="S15" s="96"/>
      <c r="T15" s="96" t="s">
        <v>1430</v>
      </c>
      <c r="U15" s="96" t="s">
        <v>1431</v>
      </c>
      <c r="V15" s="91">
        <v>43.84</v>
      </c>
      <c r="W15" s="91">
        <v>-121.36</v>
      </c>
      <c r="X15" s="91" t="s">
        <v>1020</v>
      </c>
      <c r="Y15" s="104" t="s">
        <v>1987</v>
      </c>
      <c r="Z15" s="66" t="s">
        <v>2204</v>
      </c>
      <c r="AA15" s="97" t="s">
        <v>49</v>
      </c>
      <c r="AB15" s="79" t="s">
        <v>103</v>
      </c>
      <c r="AC15" s="82" t="s">
        <v>136</v>
      </c>
      <c r="AF15" s="82" t="s">
        <v>87</v>
      </c>
      <c r="AG15" s="82" t="s">
        <v>92</v>
      </c>
      <c r="AH15" s="82" t="s">
        <v>106</v>
      </c>
      <c r="AI15" s="82" t="s">
        <v>272</v>
      </c>
      <c r="AJ15" s="86">
        <v>3</v>
      </c>
      <c r="AK15" s="86">
        <v>1</v>
      </c>
      <c r="AL15" s="86">
        <v>1</v>
      </c>
      <c r="AM15" s="84" t="s">
        <v>939</v>
      </c>
      <c r="AN15" s="84" t="s">
        <v>1021</v>
      </c>
      <c r="AO15" s="84" t="s">
        <v>1114</v>
      </c>
      <c r="AP15" s="68" t="s">
        <v>2227</v>
      </c>
      <c r="AQ15" s="82" t="s">
        <v>88</v>
      </c>
      <c r="AR15" s="86">
        <v>1</v>
      </c>
      <c r="AS15" s="86">
        <v>8</v>
      </c>
      <c r="AT15" s="86"/>
      <c r="AU15" s="87"/>
      <c r="AV15" s="88">
        <v>0.33333333333333331</v>
      </c>
      <c r="AX15" s="82" t="s">
        <v>80</v>
      </c>
      <c r="AY15" s="86">
        <v>3</v>
      </c>
      <c r="AZ15" s="86">
        <v>1</v>
      </c>
      <c r="BA15" s="86">
        <v>8</v>
      </c>
      <c r="BB15" s="86"/>
      <c r="BD15" s="83" t="s">
        <v>124</v>
      </c>
      <c r="BE15" s="82" t="s">
        <v>182</v>
      </c>
      <c r="BF15" s="83" t="s">
        <v>386</v>
      </c>
      <c r="BG15" s="82" t="s">
        <v>21</v>
      </c>
      <c r="BH15" s="82" t="s">
        <v>81</v>
      </c>
      <c r="BI15" s="84" t="s">
        <v>1022</v>
      </c>
      <c r="BJ15" s="89">
        <f t="shared" si="21"/>
        <v>3</v>
      </c>
      <c r="BK15" s="84">
        <v>36</v>
      </c>
      <c r="BL15" s="84">
        <v>36</v>
      </c>
      <c r="BM15" s="88">
        <v>3</v>
      </c>
      <c r="BN15" s="82" t="s">
        <v>389</v>
      </c>
      <c r="BO15" s="82" t="s">
        <v>382</v>
      </c>
      <c r="BP15" s="82" t="s">
        <v>64</v>
      </c>
      <c r="BR15" s="82" t="s">
        <v>1023</v>
      </c>
      <c r="BS15" s="82" t="s">
        <v>2125</v>
      </c>
      <c r="BT15" s="82" t="s">
        <v>572</v>
      </c>
      <c r="BU15" s="86">
        <v>5.72</v>
      </c>
      <c r="BV15" s="86">
        <v>1.28</v>
      </c>
      <c r="BW15" s="90">
        <v>2.2170250336881629</v>
      </c>
      <c r="BX15" s="86">
        <v>3</v>
      </c>
      <c r="BY15" s="86">
        <v>3</v>
      </c>
      <c r="BZ15" s="82" t="s">
        <v>1024</v>
      </c>
      <c r="CA15" s="82" t="s">
        <v>1360</v>
      </c>
      <c r="CB15" s="82" t="s">
        <v>80</v>
      </c>
      <c r="CC15" s="86">
        <v>5.32</v>
      </c>
      <c r="CD15" s="86">
        <v>1.36</v>
      </c>
      <c r="CE15" s="90">
        <v>2.3555890982936734</v>
      </c>
      <c r="CF15" s="86">
        <v>3</v>
      </c>
      <c r="CG15" s="86">
        <v>3</v>
      </c>
      <c r="CH15" s="82" t="s">
        <v>1024</v>
      </c>
      <c r="CI15" s="82" t="s">
        <v>1360</v>
      </c>
      <c r="CK15" s="86"/>
      <c r="CL15" s="86"/>
      <c r="CM15" s="86"/>
      <c r="CN15" s="86"/>
      <c r="CO15" s="86"/>
      <c r="CS15" s="86"/>
      <c r="CT15" s="86"/>
      <c r="CU15" s="86"/>
      <c r="CV15" s="86"/>
      <c r="CW15" s="86"/>
      <c r="DQ15" s="79"/>
      <c r="DR15" s="79"/>
      <c r="DY15" s="86"/>
      <c r="DZ15" s="86"/>
      <c r="EA15" s="86"/>
      <c r="EB15" s="86"/>
      <c r="EC15" s="86"/>
      <c r="EG15" s="86"/>
      <c r="EH15" s="86"/>
      <c r="EI15" s="86"/>
      <c r="EJ15" s="86"/>
      <c r="EK15" s="86"/>
      <c r="EN15" s="86">
        <f t="shared" si="13"/>
        <v>5.72</v>
      </c>
      <c r="EO15" s="90">
        <f t="shared" si="14"/>
        <v>2.2170250336881629</v>
      </c>
      <c r="EP15" s="86">
        <f t="shared" si="15"/>
        <v>3</v>
      </c>
      <c r="EQ15" s="86">
        <f t="shared" si="16"/>
        <v>3</v>
      </c>
      <c r="ER15" s="86">
        <f t="shared" si="17"/>
        <v>5.32</v>
      </c>
      <c r="ES15" s="90">
        <f t="shared" si="18"/>
        <v>2.3555890982936734</v>
      </c>
      <c r="ET15" s="86">
        <f t="shared" si="19"/>
        <v>3</v>
      </c>
      <c r="EU15" s="86">
        <f t="shared" si="20"/>
        <v>3</v>
      </c>
      <c r="EV15" s="86">
        <f t="shared" si="3"/>
        <v>2.2873565528793276</v>
      </c>
      <c r="EW15" s="86">
        <f t="shared" si="4"/>
        <v>0.17487435419566702</v>
      </c>
      <c r="EX15" s="86">
        <f t="shared" si="5"/>
        <v>0.66921508664627927</v>
      </c>
      <c r="EY15" s="86">
        <f t="shared" si="6"/>
        <v>0.8</v>
      </c>
      <c r="EZ15" s="83">
        <f t="shared" si="7"/>
        <v>0.13989948335653363</v>
      </c>
      <c r="FA15" s="83">
        <f t="shared" si="8"/>
        <v>0.42829765545361881</v>
      </c>
      <c r="FB15" s="83">
        <f t="shared" si="9"/>
        <v>6</v>
      </c>
      <c r="FC15" s="82" t="s">
        <v>385</v>
      </c>
    </row>
    <row r="16" spans="1:159" s="82" customFormat="1" ht="17.100000000000001" customHeight="1">
      <c r="A16" s="78" t="s">
        <v>1841</v>
      </c>
      <c r="B16" s="96" t="s">
        <v>1417</v>
      </c>
      <c r="C16" s="80" t="str">
        <f t="shared" si="10"/>
        <v>Busse, M. D., Cochran, P. H., Hopkins, W. E., Johnson, W. H., Riegel, G. M., Fiddler, G. O., Ratcliff, A.W. &amp; Shestak, C. J.  2009.  Developing resilient ponderosa pine forests with mechanical thinning and prescribed fire in central Oregon′s pumice region. Canadian Journal of Forest Research. 39: 1171-1185.</v>
      </c>
      <c r="D16" s="91" t="s">
        <v>1508</v>
      </c>
      <c r="E16" s="91">
        <v>2009</v>
      </c>
      <c r="F16" s="96" t="s">
        <v>1016</v>
      </c>
      <c r="G16" s="96" t="s">
        <v>173</v>
      </c>
      <c r="H16" s="91">
        <v>39</v>
      </c>
      <c r="I16" s="92" t="s">
        <v>1017</v>
      </c>
      <c r="J16" s="79"/>
      <c r="K16" s="96" t="s">
        <v>1018</v>
      </c>
      <c r="L16" s="82" t="s">
        <v>101</v>
      </c>
      <c r="M16" s="83" t="s">
        <v>73</v>
      </c>
      <c r="N16" s="82" t="s">
        <v>389</v>
      </c>
      <c r="O16" s="82" t="s">
        <v>992</v>
      </c>
      <c r="P16" s="91" t="s">
        <v>16</v>
      </c>
      <c r="Q16" s="96" t="s">
        <v>587</v>
      </c>
      <c r="R16" s="96" t="s">
        <v>1019</v>
      </c>
      <c r="S16" s="96"/>
      <c r="T16" s="96" t="s">
        <v>1430</v>
      </c>
      <c r="U16" s="96" t="s">
        <v>1431</v>
      </c>
      <c r="V16" s="91">
        <v>43.84</v>
      </c>
      <c r="W16" s="91">
        <v>-121.36</v>
      </c>
      <c r="X16" s="91" t="s">
        <v>1020</v>
      </c>
      <c r="Y16" s="104" t="s">
        <v>1987</v>
      </c>
      <c r="Z16" s="66" t="s">
        <v>2204</v>
      </c>
      <c r="AA16" s="97" t="s">
        <v>49</v>
      </c>
      <c r="AB16" s="79" t="s">
        <v>103</v>
      </c>
      <c r="AC16" s="82" t="s">
        <v>136</v>
      </c>
      <c r="AF16" s="82" t="s">
        <v>87</v>
      </c>
      <c r="AG16" s="82" t="s">
        <v>92</v>
      </c>
      <c r="AH16" s="82" t="s">
        <v>106</v>
      </c>
      <c r="AI16" s="82" t="s">
        <v>272</v>
      </c>
      <c r="AJ16" s="86">
        <v>3</v>
      </c>
      <c r="AK16" s="86">
        <v>1</v>
      </c>
      <c r="AL16" s="86">
        <v>1</v>
      </c>
      <c r="AM16" s="84" t="s">
        <v>939</v>
      </c>
      <c r="AN16" s="84" t="s">
        <v>1021</v>
      </c>
      <c r="AO16" s="84" t="s">
        <v>1114</v>
      </c>
      <c r="AP16" s="68" t="s">
        <v>2227</v>
      </c>
      <c r="AQ16" s="82" t="s">
        <v>88</v>
      </c>
      <c r="AR16" s="86">
        <v>1</v>
      </c>
      <c r="AS16" s="86">
        <v>8</v>
      </c>
      <c r="AT16" s="86"/>
      <c r="AU16" s="87"/>
      <c r="AV16" s="88">
        <v>0.33333333333333331</v>
      </c>
      <c r="AX16" s="82" t="s">
        <v>80</v>
      </c>
      <c r="AY16" s="86">
        <v>3</v>
      </c>
      <c r="AZ16" s="86">
        <v>1</v>
      </c>
      <c r="BA16" s="86">
        <v>8</v>
      </c>
      <c r="BB16" s="86"/>
      <c r="BD16" s="83" t="s">
        <v>122</v>
      </c>
      <c r="BE16" s="82" t="s">
        <v>1602</v>
      </c>
      <c r="BF16" s="83" t="s">
        <v>386</v>
      </c>
      <c r="BG16" s="82" t="s">
        <v>21</v>
      </c>
      <c r="BH16" s="82" t="s">
        <v>81</v>
      </c>
      <c r="BI16" s="84" t="s">
        <v>1022</v>
      </c>
      <c r="BJ16" s="89">
        <f t="shared" si="21"/>
        <v>3</v>
      </c>
      <c r="BK16" s="84">
        <v>36</v>
      </c>
      <c r="BL16" s="84">
        <v>36</v>
      </c>
      <c r="BM16" s="88">
        <v>3</v>
      </c>
      <c r="BN16" s="82" t="s">
        <v>389</v>
      </c>
      <c r="BO16" s="82" t="s">
        <v>382</v>
      </c>
      <c r="BP16" s="82" t="s">
        <v>64</v>
      </c>
      <c r="BQ16" s="82" t="s">
        <v>1170</v>
      </c>
      <c r="BR16" s="82" t="s">
        <v>1023</v>
      </c>
      <c r="BS16" s="82" t="s">
        <v>2125</v>
      </c>
      <c r="BT16" s="63" t="s">
        <v>572</v>
      </c>
      <c r="BU16" s="67">
        <v>1.79</v>
      </c>
      <c r="BV16" s="67">
        <v>0.57999999999999996</v>
      </c>
      <c r="BW16" s="69">
        <v>1.0045894683899488</v>
      </c>
      <c r="BX16" s="86">
        <v>3</v>
      </c>
      <c r="BY16" s="86">
        <v>3</v>
      </c>
      <c r="BZ16" s="82" t="s">
        <v>1024</v>
      </c>
      <c r="CA16" s="82" t="s">
        <v>1601</v>
      </c>
      <c r="CB16" s="63" t="s">
        <v>80</v>
      </c>
      <c r="CC16" s="67">
        <v>1.65</v>
      </c>
      <c r="CD16" s="67">
        <v>0.61</v>
      </c>
      <c r="CE16" s="69">
        <v>1.0565509926170151</v>
      </c>
      <c r="CF16" s="86">
        <v>3</v>
      </c>
      <c r="CG16" s="86">
        <v>3</v>
      </c>
      <c r="CH16" s="82" t="s">
        <v>1024</v>
      </c>
      <c r="CI16" s="82" t="s">
        <v>1601</v>
      </c>
      <c r="CJ16" s="63"/>
      <c r="CK16" s="67"/>
      <c r="CL16" s="67"/>
      <c r="CM16" s="67"/>
      <c r="CN16" s="67"/>
      <c r="CO16" s="67"/>
      <c r="CP16" s="63"/>
      <c r="CQ16" s="63"/>
      <c r="CR16" s="63"/>
      <c r="CS16" s="67"/>
      <c r="CT16" s="67"/>
      <c r="CU16" s="67"/>
      <c r="CV16" s="67"/>
      <c r="CW16" s="67"/>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7"/>
      <c r="DZ16" s="67"/>
      <c r="EA16" s="67"/>
      <c r="EB16" s="67"/>
      <c r="EC16" s="67"/>
      <c r="ED16" s="63"/>
      <c r="EE16" s="63"/>
      <c r="EF16" s="63"/>
      <c r="EG16" s="67"/>
      <c r="EH16" s="67"/>
      <c r="EI16" s="67"/>
      <c r="EJ16" s="67"/>
      <c r="EK16" s="67"/>
      <c r="EL16" s="63"/>
      <c r="EM16" s="63"/>
      <c r="EN16" s="86">
        <f t="shared" si="13"/>
        <v>1.79</v>
      </c>
      <c r="EO16" s="90">
        <f t="shared" si="14"/>
        <v>1.0045894683899488</v>
      </c>
      <c r="EP16" s="86">
        <f t="shared" si="15"/>
        <v>3</v>
      </c>
      <c r="EQ16" s="86">
        <f t="shared" si="16"/>
        <v>3</v>
      </c>
      <c r="ER16" s="86">
        <f t="shared" si="17"/>
        <v>1.65</v>
      </c>
      <c r="ES16" s="90">
        <f t="shared" si="18"/>
        <v>1.0565509926170151</v>
      </c>
      <c r="ET16" s="86">
        <f t="shared" si="19"/>
        <v>3</v>
      </c>
      <c r="EU16" s="86">
        <f t="shared" si="20"/>
        <v>3</v>
      </c>
      <c r="EV16" s="86">
        <f t="shared" si="3"/>
        <v>1.0308976670843717</v>
      </c>
      <c r="EW16" s="86">
        <f t="shared" si="4"/>
        <v>0.1358039740219357</v>
      </c>
      <c r="EX16" s="86">
        <f t="shared" si="5"/>
        <v>0.66820355994667913</v>
      </c>
      <c r="EY16" s="86">
        <f t="shared" si="6"/>
        <v>0.8</v>
      </c>
      <c r="EZ16" s="83">
        <f t="shared" si="7"/>
        <v>0.10864317921754857</v>
      </c>
      <c r="FA16" s="83">
        <f t="shared" si="8"/>
        <v>0.42765027836587471</v>
      </c>
      <c r="FB16" s="83">
        <f t="shared" si="9"/>
        <v>6</v>
      </c>
      <c r="FC16" s="82" t="s">
        <v>385</v>
      </c>
    </row>
    <row r="17" spans="1:159" s="82" customFormat="1" ht="17.100000000000001" customHeight="1">
      <c r="A17" s="105" t="s">
        <v>1833</v>
      </c>
      <c r="B17" s="96" t="s">
        <v>1424</v>
      </c>
      <c r="C17" s="80" t="str">
        <f t="shared" si="10"/>
        <v>Camann, M. A., Gillette, N. E., Lamoncha, K. L., &amp; Mori, S. R.  2008.  Response of forest soil Acari to prescribed fire following stand structure manipulation in the southern Cascade Range. Canadian Journal of Forest Research. 38: 956-968.</v>
      </c>
      <c r="D17" s="91" t="s">
        <v>1501</v>
      </c>
      <c r="E17" s="91">
        <v>2008</v>
      </c>
      <c r="F17" s="96" t="s">
        <v>951</v>
      </c>
      <c r="G17" s="96" t="s">
        <v>173</v>
      </c>
      <c r="H17" s="91">
        <v>38</v>
      </c>
      <c r="I17" s="92" t="s">
        <v>952</v>
      </c>
      <c r="J17" s="79" t="s">
        <v>1587</v>
      </c>
      <c r="K17" s="96" t="s">
        <v>953</v>
      </c>
      <c r="L17" s="82" t="s">
        <v>101</v>
      </c>
      <c r="M17" s="83" t="s">
        <v>73</v>
      </c>
      <c r="N17" s="82" t="s">
        <v>389</v>
      </c>
      <c r="P17" s="91" t="s">
        <v>16</v>
      </c>
      <c r="Q17" s="96" t="s">
        <v>15</v>
      </c>
      <c r="R17" s="96" t="s">
        <v>954</v>
      </c>
      <c r="S17" s="96"/>
      <c r="T17" s="96" t="s">
        <v>955</v>
      </c>
      <c r="U17" s="96" t="s">
        <v>956</v>
      </c>
      <c r="V17" s="91">
        <v>40.67</v>
      </c>
      <c r="W17" s="91">
        <v>-121.17</v>
      </c>
      <c r="X17" s="91" t="s">
        <v>890</v>
      </c>
      <c r="Y17" s="99" t="s">
        <v>1991</v>
      </c>
      <c r="Z17" s="66" t="s">
        <v>2201</v>
      </c>
      <c r="AA17" s="97" t="s">
        <v>49</v>
      </c>
      <c r="AB17" s="79" t="s">
        <v>103</v>
      </c>
      <c r="AC17" s="82" t="s">
        <v>137</v>
      </c>
      <c r="AE17" s="82" t="s">
        <v>957</v>
      </c>
      <c r="AF17" s="82" t="s">
        <v>156</v>
      </c>
      <c r="AG17" s="82" t="s">
        <v>91</v>
      </c>
      <c r="AH17" s="82" t="s">
        <v>106</v>
      </c>
      <c r="AI17" s="82" t="s">
        <v>276</v>
      </c>
      <c r="AJ17" s="86">
        <v>1</v>
      </c>
      <c r="AK17" s="86">
        <v>1</v>
      </c>
      <c r="AL17" s="86">
        <v>1</v>
      </c>
      <c r="AM17" s="84" t="s">
        <v>958</v>
      </c>
      <c r="AN17" s="84" t="s">
        <v>522</v>
      </c>
      <c r="AO17" s="84" t="s">
        <v>524</v>
      </c>
      <c r="AP17" s="68" t="s">
        <v>2228</v>
      </c>
      <c r="AQ17" s="82" t="s">
        <v>64</v>
      </c>
      <c r="AR17" s="86">
        <v>1</v>
      </c>
      <c r="AS17" s="86">
        <v>5</v>
      </c>
      <c r="AT17" s="86">
        <v>4</v>
      </c>
      <c r="AU17" s="87"/>
      <c r="AV17" s="88">
        <v>1</v>
      </c>
      <c r="AW17" s="82" t="s">
        <v>959</v>
      </c>
      <c r="AX17" s="82" t="s">
        <v>80</v>
      </c>
      <c r="AY17" s="86">
        <v>1</v>
      </c>
      <c r="AZ17" s="86">
        <v>1</v>
      </c>
      <c r="BA17" s="86">
        <v>5</v>
      </c>
      <c r="BB17" s="86">
        <v>4</v>
      </c>
      <c r="BC17" s="82" t="s">
        <v>959</v>
      </c>
      <c r="BD17" s="65" t="s">
        <v>122</v>
      </c>
      <c r="BE17" s="106" t="s">
        <v>962</v>
      </c>
      <c r="BF17" s="65" t="s">
        <v>119</v>
      </c>
      <c r="BG17" s="63" t="s">
        <v>21</v>
      </c>
      <c r="BH17" s="63" t="s">
        <v>81</v>
      </c>
      <c r="BI17" s="64" t="s">
        <v>960</v>
      </c>
      <c r="BJ17" s="89">
        <f t="shared" si="21"/>
        <v>0.66666666666666663</v>
      </c>
      <c r="BK17" s="64">
        <v>8</v>
      </c>
      <c r="BL17" s="64">
        <v>8</v>
      </c>
      <c r="BM17" s="88">
        <v>0.66666666666666663</v>
      </c>
      <c r="BN17" s="63" t="s">
        <v>379</v>
      </c>
      <c r="BO17" s="63" t="s">
        <v>670</v>
      </c>
      <c r="BP17" s="63" t="s">
        <v>64</v>
      </c>
      <c r="BQ17" s="63" t="s">
        <v>577</v>
      </c>
      <c r="BR17" s="82" t="s">
        <v>1285</v>
      </c>
      <c r="BS17" s="82" t="s">
        <v>2162</v>
      </c>
      <c r="BT17" s="63" t="s">
        <v>572</v>
      </c>
      <c r="BU17" s="67">
        <v>1.25</v>
      </c>
      <c r="BV17" s="67">
        <v>0.17</v>
      </c>
      <c r="BW17" s="69">
        <v>0.38</v>
      </c>
      <c r="BX17" s="67">
        <v>5</v>
      </c>
      <c r="BY17" s="67">
        <v>5</v>
      </c>
      <c r="BZ17" s="63" t="s">
        <v>40</v>
      </c>
      <c r="CA17" s="82" t="s">
        <v>1608</v>
      </c>
      <c r="CB17" s="63" t="s">
        <v>80</v>
      </c>
      <c r="CC17" s="67">
        <v>1.37</v>
      </c>
      <c r="CD17" s="67">
        <v>0.1</v>
      </c>
      <c r="CE17" s="69">
        <v>0.223</v>
      </c>
      <c r="CF17" s="67">
        <v>5</v>
      </c>
      <c r="CG17" s="67">
        <v>5</v>
      </c>
      <c r="CH17" s="63" t="s">
        <v>40</v>
      </c>
      <c r="CI17" s="82" t="s">
        <v>1608</v>
      </c>
      <c r="CJ17" s="63"/>
      <c r="CK17" s="67"/>
      <c r="CL17" s="67"/>
      <c r="CM17" s="67"/>
      <c r="CN17" s="67"/>
      <c r="CO17" s="67"/>
      <c r="CP17" s="63"/>
      <c r="CQ17" s="63"/>
      <c r="CR17" s="63"/>
      <c r="CS17" s="67"/>
      <c r="CT17" s="67"/>
      <c r="CU17" s="67"/>
      <c r="CV17" s="67"/>
      <c r="CW17" s="67"/>
      <c r="CX17" s="63"/>
      <c r="CY17" s="63"/>
      <c r="CZ17" s="63"/>
      <c r="DA17" s="63"/>
      <c r="DB17" s="63"/>
      <c r="DC17" s="63"/>
      <c r="DD17" s="63"/>
      <c r="DE17" s="63"/>
      <c r="DF17" s="63"/>
      <c r="DG17" s="63"/>
      <c r="DH17" s="63"/>
      <c r="DI17" s="63"/>
      <c r="DJ17" s="63"/>
      <c r="DK17" s="63"/>
      <c r="DL17" s="63"/>
      <c r="DM17" s="63"/>
      <c r="DN17" s="63"/>
      <c r="DO17" s="63"/>
      <c r="DP17" s="63"/>
      <c r="DQ17" s="77"/>
      <c r="DR17" s="77"/>
      <c r="DS17" s="63"/>
      <c r="DT17" s="63"/>
      <c r="DU17" s="63"/>
      <c r="DV17" s="63"/>
      <c r="DW17" s="63"/>
      <c r="DX17" s="63"/>
      <c r="DY17" s="67"/>
      <c r="DZ17" s="67"/>
      <c r="EA17" s="67"/>
      <c r="EB17" s="67"/>
      <c r="EC17" s="67"/>
      <c r="ED17" s="63"/>
      <c r="EE17" s="63"/>
      <c r="EF17" s="63"/>
      <c r="EG17" s="67"/>
      <c r="EH17" s="67"/>
      <c r="EI17" s="67"/>
      <c r="EJ17" s="67"/>
      <c r="EK17" s="67"/>
      <c r="EL17" s="63"/>
      <c r="EM17" s="63"/>
      <c r="EN17" s="86">
        <f t="shared" si="13"/>
        <v>1.25</v>
      </c>
      <c r="EO17" s="90">
        <f t="shared" si="14"/>
        <v>0.38</v>
      </c>
      <c r="EP17" s="86">
        <f t="shared" si="15"/>
        <v>5</v>
      </c>
      <c r="EQ17" s="86">
        <f t="shared" si="16"/>
        <v>5</v>
      </c>
      <c r="ER17" s="86">
        <f t="shared" si="17"/>
        <v>1.37</v>
      </c>
      <c r="ES17" s="90">
        <f t="shared" si="18"/>
        <v>0.223</v>
      </c>
      <c r="ET17" s="86">
        <f t="shared" si="19"/>
        <v>5</v>
      </c>
      <c r="EU17" s="86">
        <f t="shared" si="20"/>
        <v>5</v>
      </c>
      <c r="EV17" s="86">
        <f t="shared" si="3"/>
        <v>0.31155176134953882</v>
      </c>
      <c r="EW17" s="86">
        <f t="shared" si="4"/>
        <v>-0.38516874204209256</v>
      </c>
      <c r="EX17" s="86">
        <f t="shared" si="5"/>
        <v>0.40741774799231445</v>
      </c>
      <c r="EY17" s="86">
        <f t="shared" si="6"/>
        <v>0.90322580645161288</v>
      </c>
      <c r="EZ17" s="83">
        <f t="shared" si="7"/>
        <v>-0.34789434765092231</v>
      </c>
      <c r="FA17" s="83">
        <f t="shared" si="8"/>
        <v>0.33237826683243965</v>
      </c>
      <c r="FB17" s="83">
        <f t="shared" si="9"/>
        <v>10</v>
      </c>
      <c r="FC17" s="63" t="s">
        <v>385</v>
      </c>
    </row>
    <row r="18" spans="1:159" s="82" customFormat="1" ht="17.100000000000001" customHeight="1">
      <c r="A18" s="78" t="s">
        <v>1834</v>
      </c>
      <c r="B18" s="96" t="s">
        <v>1425</v>
      </c>
      <c r="C18" s="80" t="str">
        <f t="shared" si="10"/>
        <v>Camann, M. A., Lamoncha, K. L., &amp; Gillette, N. E.  2012.  Oribatid mite community decline two years after low-intensity burning in the Southern Cascade Range of California, USA. Forests. 3: 959-985.</v>
      </c>
      <c r="D18" s="91" t="s">
        <v>1502</v>
      </c>
      <c r="E18" s="91">
        <v>2012</v>
      </c>
      <c r="F18" s="96" t="s">
        <v>963</v>
      </c>
      <c r="G18" s="96" t="s">
        <v>964</v>
      </c>
      <c r="H18" s="91">
        <v>3</v>
      </c>
      <c r="I18" s="92" t="s">
        <v>965</v>
      </c>
      <c r="J18" s="79" t="s">
        <v>1586</v>
      </c>
      <c r="K18" s="96" t="s">
        <v>966</v>
      </c>
      <c r="L18" s="82" t="s">
        <v>101</v>
      </c>
      <c r="M18" s="83" t="s">
        <v>73</v>
      </c>
      <c r="N18" s="82" t="s">
        <v>389</v>
      </c>
      <c r="P18" s="91" t="s">
        <v>16</v>
      </c>
      <c r="Q18" s="96" t="s">
        <v>15</v>
      </c>
      <c r="R18" s="96" t="s">
        <v>954</v>
      </c>
      <c r="S18" s="96"/>
      <c r="T18" s="96" t="s">
        <v>955</v>
      </c>
      <c r="U18" s="96" t="s">
        <v>956</v>
      </c>
      <c r="V18" s="91">
        <v>40.67</v>
      </c>
      <c r="W18" s="91">
        <v>-121.17</v>
      </c>
      <c r="X18" s="91" t="s">
        <v>890</v>
      </c>
      <c r="Y18" s="99" t="s">
        <v>1991</v>
      </c>
      <c r="Z18" s="66" t="s">
        <v>2201</v>
      </c>
      <c r="AA18" s="97" t="s">
        <v>49</v>
      </c>
      <c r="AB18" s="79" t="s">
        <v>103</v>
      </c>
      <c r="AC18" s="82" t="s">
        <v>137</v>
      </c>
      <c r="AE18" s="82" t="s">
        <v>957</v>
      </c>
      <c r="AF18" s="82" t="s">
        <v>156</v>
      </c>
      <c r="AG18" s="82" t="s">
        <v>91</v>
      </c>
      <c r="AH18" s="82" t="s">
        <v>106</v>
      </c>
      <c r="AI18" s="82" t="s">
        <v>276</v>
      </c>
      <c r="AJ18" s="86">
        <v>1</v>
      </c>
      <c r="AK18" s="86">
        <v>1</v>
      </c>
      <c r="AL18" s="86">
        <v>1</v>
      </c>
      <c r="AM18" s="84" t="s">
        <v>958</v>
      </c>
      <c r="AN18" s="84" t="s">
        <v>522</v>
      </c>
      <c r="AO18" s="84" t="s">
        <v>524</v>
      </c>
      <c r="AP18" s="68" t="s">
        <v>2228</v>
      </c>
      <c r="AQ18" s="82" t="s">
        <v>64</v>
      </c>
      <c r="AR18" s="86">
        <v>1</v>
      </c>
      <c r="AS18" s="86">
        <v>5</v>
      </c>
      <c r="AT18" s="86">
        <v>4</v>
      </c>
      <c r="AU18" s="87"/>
      <c r="AV18" s="88">
        <v>0.6</v>
      </c>
      <c r="AW18" s="82" t="s">
        <v>959</v>
      </c>
      <c r="AX18" s="82" t="s">
        <v>80</v>
      </c>
      <c r="AY18" s="86">
        <v>1</v>
      </c>
      <c r="AZ18" s="86">
        <v>1</v>
      </c>
      <c r="BA18" s="86">
        <v>5</v>
      </c>
      <c r="BB18" s="86">
        <v>4</v>
      </c>
      <c r="BC18" s="82" t="s">
        <v>959</v>
      </c>
      <c r="BD18" s="83" t="s">
        <v>124</v>
      </c>
      <c r="BE18" s="82" t="s">
        <v>182</v>
      </c>
      <c r="BF18" s="83" t="s">
        <v>119</v>
      </c>
      <c r="BG18" s="82" t="s">
        <v>21</v>
      </c>
      <c r="BH18" s="82" t="s">
        <v>81</v>
      </c>
      <c r="BI18" s="64" t="s">
        <v>960</v>
      </c>
      <c r="BJ18" s="89">
        <f t="shared" si="21"/>
        <v>1.6666666666666667</v>
      </c>
      <c r="BK18" s="84">
        <v>20</v>
      </c>
      <c r="BL18" s="84">
        <v>20</v>
      </c>
      <c r="BM18" s="88">
        <v>1.6666666666666667</v>
      </c>
      <c r="BN18" s="82" t="s">
        <v>389</v>
      </c>
      <c r="BO18" s="82" t="s">
        <v>670</v>
      </c>
      <c r="BP18" s="82" t="s">
        <v>64</v>
      </c>
      <c r="BQ18" s="82" t="s">
        <v>1452</v>
      </c>
      <c r="BR18" s="82" t="s">
        <v>961</v>
      </c>
      <c r="BS18" s="82" t="s">
        <v>2162</v>
      </c>
      <c r="BT18" s="82" t="s">
        <v>572</v>
      </c>
      <c r="BU18" s="86">
        <v>6.49</v>
      </c>
      <c r="BV18" s="86">
        <v>0.83</v>
      </c>
      <c r="BW18" s="90">
        <v>1.85</v>
      </c>
      <c r="BX18" s="67">
        <v>5</v>
      </c>
      <c r="BY18" s="67">
        <v>5</v>
      </c>
      <c r="BZ18" s="82" t="s">
        <v>842</v>
      </c>
      <c r="CA18" s="82" t="s">
        <v>1609</v>
      </c>
      <c r="CB18" s="82" t="s">
        <v>80</v>
      </c>
      <c r="CC18" s="86">
        <v>11.62</v>
      </c>
      <c r="CD18" s="86">
        <v>1.1499999999999999</v>
      </c>
      <c r="CE18" s="90">
        <v>2.5710000000000002</v>
      </c>
      <c r="CF18" s="67">
        <v>5</v>
      </c>
      <c r="CG18" s="67">
        <v>5</v>
      </c>
      <c r="CH18" s="82" t="s">
        <v>842</v>
      </c>
      <c r="CI18" s="82" t="s">
        <v>1609</v>
      </c>
      <c r="CK18" s="86"/>
      <c r="CL18" s="86"/>
      <c r="CM18" s="86"/>
      <c r="CN18" s="86"/>
      <c r="CO18" s="86"/>
      <c r="CS18" s="86"/>
      <c r="CT18" s="86"/>
      <c r="CU18" s="86"/>
      <c r="CV18" s="86"/>
      <c r="CW18" s="86"/>
      <c r="DQ18" s="79"/>
      <c r="DR18" s="79"/>
      <c r="DY18" s="86"/>
      <c r="DZ18" s="86"/>
      <c r="EA18" s="86"/>
      <c r="EB18" s="86"/>
      <c r="EC18" s="86"/>
      <c r="EG18" s="86"/>
      <c r="EH18" s="86"/>
      <c r="EI18" s="86"/>
      <c r="EJ18" s="86"/>
      <c r="EK18" s="86"/>
      <c r="EN18" s="86">
        <f t="shared" si="13"/>
        <v>6.49</v>
      </c>
      <c r="EO18" s="90">
        <f t="shared" si="14"/>
        <v>1.85</v>
      </c>
      <c r="EP18" s="86">
        <f t="shared" si="15"/>
        <v>5</v>
      </c>
      <c r="EQ18" s="86">
        <f t="shared" si="16"/>
        <v>5</v>
      </c>
      <c r="ER18" s="86">
        <f t="shared" si="17"/>
        <v>11.62</v>
      </c>
      <c r="ES18" s="90">
        <f t="shared" si="18"/>
        <v>2.5710000000000002</v>
      </c>
      <c r="ET18" s="86">
        <f t="shared" si="19"/>
        <v>5</v>
      </c>
      <c r="EU18" s="86">
        <f t="shared" si="20"/>
        <v>5</v>
      </c>
      <c r="EV18" s="86">
        <f t="shared" si="3"/>
        <v>2.2397032169463884</v>
      </c>
      <c r="EW18" s="86">
        <f t="shared" si="4"/>
        <v>-2.2904820429709618</v>
      </c>
      <c r="EX18" s="86">
        <f t="shared" si="5"/>
        <v>0.6623153994586215</v>
      </c>
      <c r="EY18" s="86">
        <f t="shared" si="6"/>
        <v>0.90322580645161288</v>
      </c>
      <c r="EZ18" s="83">
        <f t="shared" si="7"/>
        <v>-2.0688224904253847</v>
      </c>
      <c r="FA18" s="83">
        <f t="shared" si="8"/>
        <v>0.54032806782056109</v>
      </c>
      <c r="FB18" s="83">
        <f t="shared" si="9"/>
        <v>10</v>
      </c>
      <c r="FC18" s="63" t="s">
        <v>385</v>
      </c>
    </row>
    <row r="19" spans="1:159" s="82" customFormat="1" ht="17.100000000000001" customHeight="1">
      <c r="A19" s="78" t="s">
        <v>1805</v>
      </c>
      <c r="B19" s="91" t="s">
        <v>292</v>
      </c>
      <c r="C19" s="80" t="str">
        <f t="shared" si="10"/>
        <v>Casals, P., Valor, T., Besalú, A., &amp; Molina-Terrén, D.  2016.  Understory fuel load and structure eight to nine years after prescribed burning in Mediterranean pine forests. Forest Ecology and Management. 362: 156-168.</v>
      </c>
      <c r="D19" s="81" t="s">
        <v>1475</v>
      </c>
      <c r="E19" s="81">
        <v>2016</v>
      </c>
      <c r="F19" s="91" t="s">
        <v>1529</v>
      </c>
      <c r="G19" s="91" t="s">
        <v>20</v>
      </c>
      <c r="H19" s="91">
        <v>362</v>
      </c>
      <c r="I19" s="91" t="s">
        <v>898</v>
      </c>
      <c r="J19" s="81"/>
      <c r="K19" s="91" t="s">
        <v>899</v>
      </c>
      <c r="L19" s="84" t="s">
        <v>101</v>
      </c>
      <c r="M19" s="95" t="s">
        <v>73</v>
      </c>
      <c r="N19" s="84" t="s">
        <v>389</v>
      </c>
      <c r="O19" s="84"/>
      <c r="P19" s="91" t="s">
        <v>900</v>
      </c>
      <c r="Q19" s="91" t="s">
        <v>901</v>
      </c>
      <c r="R19" s="91" t="s">
        <v>902</v>
      </c>
      <c r="S19" s="91" t="s">
        <v>903</v>
      </c>
      <c r="T19" s="91" t="s">
        <v>1394</v>
      </c>
      <c r="U19" s="91" t="s">
        <v>1388</v>
      </c>
      <c r="V19" s="91">
        <v>41.5</v>
      </c>
      <c r="W19" s="91">
        <v>1.1999999999999886</v>
      </c>
      <c r="X19" s="91" t="s">
        <v>904</v>
      </c>
      <c r="Y19" s="107" t="s">
        <v>1894</v>
      </c>
      <c r="Z19" s="66" t="s">
        <v>2201</v>
      </c>
      <c r="AA19" s="93" t="s">
        <v>49</v>
      </c>
      <c r="AB19" s="84" t="s">
        <v>103</v>
      </c>
      <c r="AC19" s="81" t="s">
        <v>135</v>
      </c>
      <c r="AD19" s="84"/>
      <c r="AE19" s="84"/>
      <c r="AF19" s="84" t="s">
        <v>156</v>
      </c>
      <c r="AG19" s="84" t="s">
        <v>91</v>
      </c>
      <c r="AH19" s="84" t="s">
        <v>156</v>
      </c>
      <c r="AI19" s="84" t="s">
        <v>272</v>
      </c>
      <c r="AJ19" s="86">
        <v>8</v>
      </c>
      <c r="AK19" s="86">
        <v>1</v>
      </c>
      <c r="AL19" s="86">
        <v>1</v>
      </c>
      <c r="AM19" s="84" t="s">
        <v>64</v>
      </c>
      <c r="AN19" s="84" t="s">
        <v>905</v>
      </c>
      <c r="AO19" s="84" t="s">
        <v>2107</v>
      </c>
      <c r="AP19" s="68" t="s">
        <v>2229</v>
      </c>
      <c r="AQ19" s="84" t="s">
        <v>94</v>
      </c>
      <c r="AR19" s="108">
        <v>1</v>
      </c>
      <c r="AS19" s="108">
        <v>100</v>
      </c>
      <c r="AT19" s="86"/>
      <c r="AU19" s="90"/>
      <c r="AV19" s="88">
        <v>0.1111111111111111</v>
      </c>
      <c r="AW19" s="84"/>
      <c r="AX19" s="84" t="s">
        <v>80</v>
      </c>
      <c r="AY19" s="86">
        <v>8</v>
      </c>
      <c r="AZ19" s="86">
        <v>1</v>
      </c>
      <c r="BA19" s="86">
        <v>100</v>
      </c>
      <c r="BB19" s="86"/>
      <c r="BC19" s="84"/>
      <c r="BD19" s="93" t="s">
        <v>124</v>
      </c>
      <c r="BE19" s="84" t="s">
        <v>182</v>
      </c>
      <c r="BF19" s="109" t="s">
        <v>387</v>
      </c>
      <c r="BG19" s="110" t="s">
        <v>21</v>
      </c>
      <c r="BH19" s="84" t="s">
        <v>81</v>
      </c>
      <c r="BI19" s="84" t="s">
        <v>365</v>
      </c>
      <c r="BJ19" s="89">
        <f>108/12</f>
        <v>9</v>
      </c>
      <c r="BK19" s="84" t="s">
        <v>906</v>
      </c>
      <c r="BL19" s="84" t="s">
        <v>906</v>
      </c>
      <c r="BM19" s="88">
        <v>8.5</v>
      </c>
      <c r="BN19" s="84" t="s">
        <v>379</v>
      </c>
      <c r="BO19" s="84" t="s">
        <v>342</v>
      </c>
      <c r="BP19" s="84" t="s">
        <v>64</v>
      </c>
      <c r="BQ19" s="84" t="s">
        <v>579</v>
      </c>
      <c r="BR19" s="81" t="s">
        <v>1761</v>
      </c>
      <c r="BS19" s="81" t="s">
        <v>2137</v>
      </c>
      <c r="BT19" s="84" t="s">
        <v>572</v>
      </c>
      <c r="BU19" s="86">
        <v>18.5</v>
      </c>
      <c r="BV19" s="86"/>
      <c r="BW19" s="90">
        <v>5.5641710972974225</v>
      </c>
      <c r="BX19" s="86">
        <v>8</v>
      </c>
      <c r="BY19" s="86">
        <v>8</v>
      </c>
      <c r="BZ19" s="84" t="s">
        <v>1764</v>
      </c>
      <c r="CA19" s="84" t="s">
        <v>907</v>
      </c>
      <c r="CB19" s="84" t="s">
        <v>80</v>
      </c>
      <c r="CC19" s="86">
        <v>21.6</v>
      </c>
      <c r="CD19" s="86"/>
      <c r="CE19" s="90">
        <v>5.9732738092272317</v>
      </c>
      <c r="CF19" s="86">
        <v>8</v>
      </c>
      <c r="CG19" s="86">
        <v>8</v>
      </c>
      <c r="CH19" s="84" t="s">
        <v>1763</v>
      </c>
      <c r="CI19" s="84" t="s">
        <v>907</v>
      </c>
      <c r="CJ19" s="84"/>
      <c r="CK19" s="86"/>
      <c r="CL19" s="86"/>
      <c r="CM19" s="86"/>
      <c r="CN19" s="86"/>
      <c r="CO19" s="86"/>
      <c r="CP19" s="84"/>
      <c r="CQ19" s="84"/>
      <c r="CR19" s="84"/>
      <c r="CS19" s="86"/>
      <c r="CT19" s="86"/>
      <c r="CU19" s="86"/>
      <c r="CV19" s="86"/>
      <c r="CW19" s="86"/>
      <c r="CX19" s="84"/>
      <c r="CY19" s="84"/>
      <c r="CZ19" s="84"/>
      <c r="DF19" s="84"/>
      <c r="DG19" s="84"/>
      <c r="DH19" s="84"/>
      <c r="DO19" s="111"/>
      <c r="DP19" s="84"/>
      <c r="DV19" s="84"/>
      <c r="DW19" s="111"/>
      <c r="DX19" s="84"/>
      <c r="DY19" s="86"/>
      <c r="DZ19" s="86"/>
      <c r="EA19" s="86"/>
      <c r="EB19" s="86"/>
      <c r="EC19" s="86"/>
      <c r="ED19" s="84"/>
      <c r="EE19" s="84"/>
      <c r="EF19" s="84"/>
      <c r="EG19" s="86"/>
      <c r="EH19" s="86"/>
      <c r="EI19" s="86"/>
      <c r="EJ19" s="86"/>
      <c r="EK19" s="86"/>
      <c r="EL19" s="84"/>
      <c r="EM19" s="84"/>
      <c r="EN19" s="86">
        <f t="shared" si="13"/>
        <v>18.5</v>
      </c>
      <c r="EO19" s="90">
        <f t="shared" si="14"/>
        <v>5.5641710972974225</v>
      </c>
      <c r="EP19" s="86">
        <f t="shared" si="15"/>
        <v>8</v>
      </c>
      <c r="EQ19" s="86">
        <f t="shared" si="16"/>
        <v>8</v>
      </c>
      <c r="ER19" s="86">
        <f t="shared" si="17"/>
        <v>21.6</v>
      </c>
      <c r="ES19" s="90">
        <f t="shared" si="18"/>
        <v>5.9732738092272317</v>
      </c>
      <c r="ET19" s="86">
        <f t="shared" si="19"/>
        <v>8</v>
      </c>
      <c r="EU19" s="86">
        <f t="shared" si="20"/>
        <v>8</v>
      </c>
      <c r="EV19" s="86">
        <f t="shared" si="3"/>
        <v>5.7723478758647246</v>
      </c>
      <c r="EW19" s="86">
        <f t="shared" si="4"/>
        <v>-0.53704316972330901</v>
      </c>
      <c r="EX19" s="86">
        <f t="shared" si="5"/>
        <v>0.25901298019207686</v>
      </c>
      <c r="EY19" s="86">
        <f t="shared" si="6"/>
        <v>0.94545454545454544</v>
      </c>
      <c r="EZ19" s="83">
        <f t="shared" si="7"/>
        <v>-0.5077499059202194</v>
      </c>
      <c r="FA19" s="83">
        <f t="shared" si="8"/>
        <v>0.23152763584772754</v>
      </c>
      <c r="FB19" s="83">
        <f t="shared" si="9"/>
        <v>16</v>
      </c>
      <c r="FC19" s="84" t="s">
        <v>385</v>
      </c>
    </row>
    <row r="20" spans="1:159" s="82" customFormat="1" ht="17.100000000000001" customHeight="1">
      <c r="A20" s="78" t="s">
        <v>1805</v>
      </c>
      <c r="B20" s="91" t="s">
        <v>292</v>
      </c>
      <c r="C20" s="80" t="str">
        <f t="shared" si="10"/>
        <v>Casals, P., Valor, T., Besalú, A., &amp; Molina-Terrén, D.  2016.  Understory fuel load and structure eight to nine years after prescribed burning in Mediterranean pine forests. Forest Ecology and Management. 362: 156-168.</v>
      </c>
      <c r="D20" s="81" t="s">
        <v>1475</v>
      </c>
      <c r="E20" s="81">
        <v>2016</v>
      </c>
      <c r="F20" s="91" t="s">
        <v>1529</v>
      </c>
      <c r="G20" s="91" t="s">
        <v>20</v>
      </c>
      <c r="H20" s="91">
        <v>362</v>
      </c>
      <c r="I20" s="91" t="s">
        <v>898</v>
      </c>
      <c r="J20" s="81"/>
      <c r="K20" s="91" t="s">
        <v>899</v>
      </c>
      <c r="L20" s="84" t="s">
        <v>101</v>
      </c>
      <c r="M20" s="95" t="s">
        <v>73</v>
      </c>
      <c r="N20" s="84" t="s">
        <v>389</v>
      </c>
      <c r="O20" s="84"/>
      <c r="P20" s="91" t="s">
        <v>900</v>
      </c>
      <c r="Q20" s="91" t="s">
        <v>901</v>
      </c>
      <c r="R20" s="91" t="s">
        <v>902</v>
      </c>
      <c r="S20" s="91" t="s">
        <v>903</v>
      </c>
      <c r="T20" s="91" t="s">
        <v>1394</v>
      </c>
      <c r="U20" s="91" t="s">
        <v>1388</v>
      </c>
      <c r="V20" s="91">
        <v>41.5</v>
      </c>
      <c r="W20" s="91">
        <v>1.1999999999999886</v>
      </c>
      <c r="X20" s="91" t="s">
        <v>904</v>
      </c>
      <c r="Y20" s="107" t="s">
        <v>1894</v>
      </c>
      <c r="Z20" s="66" t="s">
        <v>2201</v>
      </c>
      <c r="AA20" s="93" t="s">
        <v>49</v>
      </c>
      <c r="AB20" s="84" t="s">
        <v>103</v>
      </c>
      <c r="AC20" s="81" t="s">
        <v>135</v>
      </c>
      <c r="AD20" s="84"/>
      <c r="AE20" s="84"/>
      <c r="AF20" s="84" t="s">
        <v>156</v>
      </c>
      <c r="AG20" s="84" t="s">
        <v>91</v>
      </c>
      <c r="AH20" s="84" t="s">
        <v>156</v>
      </c>
      <c r="AI20" s="84" t="s">
        <v>272</v>
      </c>
      <c r="AJ20" s="86">
        <v>8</v>
      </c>
      <c r="AK20" s="86">
        <v>1</v>
      </c>
      <c r="AL20" s="86">
        <v>1</v>
      </c>
      <c r="AM20" s="84" t="s">
        <v>64</v>
      </c>
      <c r="AN20" s="84" t="s">
        <v>905</v>
      </c>
      <c r="AO20" s="84" t="s">
        <v>2107</v>
      </c>
      <c r="AP20" s="68" t="s">
        <v>2229</v>
      </c>
      <c r="AQ20" s="84" t="s">
        <v>94</v>
      </c>
      <c r="AR20" s="108">
        <v>1</v>
      </c>
      <c r="AS20" s="108">
        <v>100</v>
      </c>
      <c r="AT20" s="86"/>
      <c r="AU20" s="90"/>
      <c r="AV20" s="88">
        <v>0.1111111111111111</v>
      </c>
      <c r="AW20" s="84"/>
      <c r="AX20" s="84" t="s">
        <v>80</v>
      </c>
      <c r="AY20" s="86">
        <v>8</v>
      </c>
      <c r="AZ20" s="86">
        <v>1</v>
      </c>
      <c r="BA20" s="86">
        <v>100</v>
      </c>
      <c r="BB20" s="86"/>
      <c r="BC20" s="84"/>
      <c r="BD20" s="93" t="s">
        <v>124</v>
      </c>
      <c r="BE20" s="84" t="s">
        <v>182</v>
      </c>
      <c r="BF20" s="109" t="s">
        <v>386</v>
      </c>
      <c r="BG20" s="110" t="s">
        <v>21</v>
      </c>
      <c r="BH20" s="84" t="s">
        <v>81</v>
      </c>
      <c r="BI20" s="84" t="s">
        <v>365</v>
      </c>
      <c r="BJ20" s="89">
        <f>108/12</f>
        <v>9</v>
      </c>
      <c r="BK20" s="84" t="s">
        <v>906</v>
      </c>
      <c r="BL20" s="84" t="s">
        <v>906</v>
      </c>
      <c r="BM20" s="88">
        <v>8.5</v>
      </c>
      <c r="BN20" s="84" t="s">
        <v>379</v>
      </c>
      <c r="BO20" s="84" t="s">
        <v>342</v>
      </c>
      <c r="BP20" s="84" t="s">
        <v>64</v>
      </c>
      <c r="BQ20" s="84" t="s">
        <v>579</v>
      </c>
      <c r="BR20" s="81" t="s">
        <v>1762</v>
      </c>
      <c r="BS20" s="81" t="s">
        <v>2125</v>
      </c>
      <c r="BT20" s="84" t="s">
        <v>572</v>
      </c>
      <c r="BU20" s="86">
        <v>42.599999999999994</v>
      </c>
      <c r="BV20" s="86"/>
      <c r="BW20" s="90">
        <v>7.8841613377708102</v>
      </c>
      <c r="BX20" s="86">
        <v>8</v>
      </c>
      <c r="BY20" s="86">
        <v>8</v>
      </c>
      <c r="BZ20" s="84" t="s">
        <v>1764</v>
      </c>
      <c r="CA20" s="84" t="s">
        <v>907</v>
      </c>
      <c r="CB20" s="84" t="s">
        <v>80</v>
      </c>
      <c r="CC20" s="86">
        <v>42.3</v>
      </c>
      <c r="CD20" s="86"/>
      <c r="CE20" s="90">
        <v>8.0199750623053685</v>
      </c>
      <c r="CF20" s="86">
        <v>8</v>
      </c>
      <c r="CG20" s="86">
        <v>8</v>
      </c>
      <c r="CH20" s="84" t="s">
        <v>1763</v>
      </c>
      <c r="CI20" s="84" t="s">
        <v>907</v>
      </c>
      <c r="CJ20" s="84"/>
      <c r="CK20" s="86"/>
      <c r="CL20" s="86"/>
      <c r="CM20" s="86"/>
      <c r="CN20" s="86"/>
      <c r="CO20" s="86"/>
      <c r="CP20" s="84"/>
      <c r="CQ20" s="84"/>
      <c r="CR20" s="84"/>
      <c r="CS20" s="84"/>
      <c r="CT20" s="84"/>
      <c r="CU20" s="84"/>
      <c r="CV20" s="86"/>
      <c r="CW20" s="86"/>
      <c r="CX20" s="84"/>
      <c r="CY20" s="84"/>
      <c r="CZ20" s="84"/>
      <c r="DA20" s="84"/>
      <c r="DB20" s="84"/>
      <c r="DC20" s="84"/>
      <c r="DF20" s="84"/>
      <c r="DG20" s="84"/>
      <c r="DH20" s="84"/>
      <c r="DI20" s="84"/>
      <c r="DJ20" s="84"/>
      <c r="DK20" s="84"/>
      <c r="DO20" s="111"/>
      <c r="DP20" s="84"/>
      <c r="DV20" s="84"/>
      <c r="DW20" s="111"/>
      <c r="DX20" s="84"/>
      <c r="DY20" s="86"/>
      <c r="DZ20" s="86"/>
      <c r="EA20" s="86"/>
      <c r="EB20" s="86"/>
      <c r="EC20" s="86"/>
      <c r="ED20" s="84"/>
      <c r="EE20" s="84"/>
      <c r="EF20" s="84"/>
      <c r="EG20" s="86"/>
      <c r="EH20" s="86"/>
      <c r="EI20" s="86"/>
      <c r="EJ20" s="86"/>
      <c r="EK20" s="86"/>
      <c r="EL20" s="84"/>
      <c r="EM20" s="84"/>
      <c r="EN20" s="86">
        <f t="shared" si="13"/>
        <v>42.599999999999994</v>
      </c>
      <c r="EO20" s="90">
        <f t="shared" si="14"/>
        <v>7.8841613377708102</v>
      </c>
      <c r="EP20" s="86">
        <f t="shared" si="15"/>
        <v>8</v>
      </c>
      <c r="EQ20" s="86">
        <f t="shared" si="16"/>
        <v>8</v>
      </c>
      <c r="ER20" s="86">
        <f t="shared" si="17"/>
        <v>42.3</v>
      </c>
      <c r="ES20" s="90">
        <f t="shared" si="18"/>
        <v>8.0199750623053685</v>
      </c>
      <c r="ET20" s="86">
        <f t="shared" si="19"/>
        <v>8</v>
      </c>
      <c r="EU20" s="86">
        <f t="shared" si="20"/>
        <v>8</v>
      </c>
      <c r="EV20" s="86">
        <f t="shared" si="3"/>
        <v>7.9523581408284176</v>
      </c>
      <c r="EW20" s="86">
        <f t="shared" si="4"/>
        <v>3.7724659112088908E-2</v>
      </c>
      <c r="EX20" s="86">
        <f t="shared" si="5"/>
        <v>0.25004447343453512</v>
      </c>
      <c r="EY20" s="86">
        <f t="shared" si="6"/>
        <v>0.94545454545454544</v>
      </c>
      <c r="EZ20" s="83">
        <f t="shared" si="7"/>
        <v>3.5666950433247697E-2</v>
      </c>
      <c r="FA20" s="83">
        <f t="shared" si="8"/>
        <v>0.22351082848495304</v>
      </c>
      <c r="FB20" s="83">
        <f t="shared" si="9"/>
        <v>16</v>
      </c>
      <c r="FC20" s="84" t="s">
        <v>385</v>
      </c>
    </row>
    <row r="21" spans="1:159" s="82" customFormat="1" ht="17.100000000000001" customHeight="1">
      <c r="A21" s="78" t="s">
        <v>1805</v>
      </c>
      <c r="B21" s="91" t="s">
        <v>292</v>
      </c>
      <c r="C21" s="80" t="str">
        <f t="shared" si="10"/>
        <v>Casals, P., Valor, T., Besalú, A., &amp; Molina-Terrén, D.  2016.  Understory fuel load and structure eight to nine years after prescribed burning in Mediterranean pine forests. Forest Ecology and Management. 362: 156-168.</v>
      </c>
      <c r="D21" s="81" t="s">
        <v>1475</v>
      </c>
      <c r="E21" s="81">
        <v>2016</v>
      </c>
      <c r="F21" s="91" t="s">
        <v>1529</v>
      </c>
      <c r="G21" s="91" t="s">
        <v>20</v>
      </c>
      <c r="H21" s="91">
        <v>362</v>
      </c>
      <c r="I21" s="91" t="s">
        <v>898</v>
      </c>
      <c r="J21" s="81"/>
      <c r="K21" s="91" t="s">
        <v>899</v>
      </c>
      <c r="L21" s="84" t="s">
        <v>101</v>
      </c>
      <c r="M21" s="95" t="s">
        <v>73</v>
      </c>
      <c r="N21" s="84" t="s">
        <v>389</v>
      </c>
      <c r="O21" s="84"/>
      <c r="P21" s="91" t="s">
        <v>900</v>
      </c>
      <c r="Q21" s="91" t="s">
        <v>901</v>
      </c>
      <c r="R21" s="91" t="s">
        <v>902</v>
      </c>
      <c r="S21" s="91" t="s">
        <v>903</v>
      </c>
      <c r="T21" s="91" t="s">
        <v>1394</v>
      </c>
      <c r="U21" s="91" t="s">
        <v>1388</v>
      </c>
      <c r="V21" s="91">
        <v>41.5</v>
      </c>
      <c r="W21" s="91">
        <v>1.1999999999999886</v>
      </c>
      <c r="X21" s="91" t="s">
        <v>904</v>
      </c>
      <c r="Y21" s="107" t="s">
        <v>1894</v>
      </c>
      <c r="Z21" s="66" t="s">
        <v>2201</v>
      </c>
      <c r="AA21" s="93" t="s">
        <v>49</v>
      </c>
      <c r="AB21" s="84" t="s">
        <v>103</v>
      </c>
      <c r="AC21" s="81" t="s">
        <v>135</v>
      </c>
      <c r="AD21" s="84"/>
      <c r="AE21" s="84"/>
      <c r="AF21" s="84" t="s">
        <v>156</v>
      </c>
      <c r="AG21" s="84" t="s">
        <v>91</v>
      </c>
      <c r="AH21" s="84" t="s">
        <v>156</v>
      </c>
      <c r="AI21" s="84" t="s">
        <v>272</v>
      </c>
      <c r="AJ21" s="86">
        <v>8</v>
      </c>
      <c r="AK21" s="86">
        <v>1</v>
      </c>
      <c r="AL21" s="86">
        <v>1</v>
      </c>
      <c r="AM21" s="84" t="s">
        <v>64</v>
      </c>
      <c r="AN21" s="84" t="s">
        <v>905</v>
      </c>
      <c r="AO21" s="84" t="s">
        <v>2107</v>
      </c>
      <c r="AP21" s="68" t="s">
        <v>2229</v>
      </c>
      <c r="AQ21" s="84" t="s">
        <v>94</v>
      </c>
      <c r="AR21" s="108">
        <v>1</v>
      </c>
      <c r="AS21" s="108">
        <v>100</v>
      </c>
      <c r="AT21" s="86"/>
      <c r="AU21" s="90"/>
      <c r="AV21" s="88">
        <v>0.1111111111111111</v>
      </c>
      <c r="AW21" s="84"/>
      <c r="AX21" s="84" t="s">
        <v>80</v>
      </c>
      <c r="AY21" s="86">
        <v>8</v>
      </c>
      <c r="AZ21" s="86">
        <v>1</v>
      </c>
      <c r="BA21" s="86">
        <v>100</v>
      </c>
      <c r="BB21" s="86"/>
      <c r="BC21" s="84"/>
      <c r="BD21" s="93" t="s">
        <v>124</v>
      </c>
      <c r="BE21" s="84" t="s">
        <v>182</v>
      </c>
      <c r="BF21" s="109" t="s">
        <v>2109</v>
      </c>
      <c r="BG21" s="110" t="s">
        <v>21</v>
      </c>
      <c r="BH21" s="84" t="s">
        <v>81</v>
      </c>
      <c r="BI21" s="84" t="s">
        <v>365</v>
      </c>
      <c r="BJ21" s="89">
        <f>108/12</f>
        <v>9</v>
      </c>
      <c r="BK21" s="84" t="s">
        <v>906</v>
      </c>
      <c r="BL21" s="84" t="s">
        <v>906</v>
      </c>
      <c r="BM21" s="88">
        <v>8.5</v>
      </c>
      <c r="BN21" s="84" t="s">
        <v>379</v>
      </c>
      <c r="BO21" s="84" t="s">
        <v>342</v>
      </c>
      <c r="BP21" s="84" t="s">
        <v>64</v>
      </c>
      <c r="BQ21" s="84" t="s">
        <v>579</v>
      </c>
      <c r="BR21" s="81" t="s">
        <v>2114</v>
      </c>
      <c r="BS21" s="81" t="s">
        <v>2139</v>
      </c>
      <c r="BT21" s="84" t="s">
        <v>572</v>
      </c>
      <c r="BU21" s="86">
        <v>61.099999999999994</v>
      </c>
      <c r="BV21" s="86"/>
      <c r="BW21" s="90">
        <v>9.6498704654518566</v>
      </c>
      <c r="BX21" s="86">
        <v>8</v>
      </c>
      <c r="BY21" s="86">
        <v>8</v>
      </c>
      <c r="BZ21" s="84" t="s">
        <v>1764</v>
      </c>
      <c r="CA21" s="84" t="s">
        <v>907</v>
      </c>
      <c r="CB21" s="84" t="s">
        <v>80</v>
      </c>
      <c r="CC21" s="112">
        <f>SUM(CC19:CC20)</f>
        <v>63.9</v>
      </c>
      <c r="CD21" s="112"/>
      <c r="CE21" s="113">
        <f>SQRT((CE19^2)+(CE20^2))</f>
        <v>10</v>
      </c>
      <c r="CF21" s="86">
        <v>8</v>
      </c>
      <c r="CG21" s="86">
        <v>8</v>
      </c>
      <c r="CH21" s="84" t="s">
        <v>1763</v>
      </c>
      <c r="CI21" s="84" t="s">
        <v>907</v>
      </c>
      <c r="CJ21" s="84"/>
      <c r="CK21" s="86"/>
      <c r="CL21" s="86"/>
      <c r="CM21" s="86"/>
      <c r="CN21" s="86"/>
      <c r="CO21" s="86"/>
      <c r="CP21" s="84"/>
      <c r="CQ21" s="84"/>
      <c r="CR21" s="84"/>
      <c r="CS21" s="84"/>
      <c r="CT21" s="84"/>
      <c r="CU21" s="84"/>
      <c r="CV21" s="86"/>
      <c r="CW21" s="86"/>
      <c r="CX21" s="84"/>
      <c r="CY21" s="84"/>
      <c r="CZ21" s="84"/>
      <c r="DA21" s="84"/>
      <c r="DB21" s="84"/>
      <c r="DC21" s="84"/>
      <c r="DF21" s="84"/>
      <c r="DG21" s="84"/>
      <c r="DH21" s="84"/>
      <c r="DI21" s="84"/>
      <c r="DJ21" s="84"/>
      <c r="DK21" s="84"/>
      <c r="DO21" s="111"/>
      <c r="DP21" s="84"/>
      <c r="DV21" s="84"/>
      <c r="DW21" s="111"/>
      <c r="DX21" s="84"/>
      <c r="DY21" s="86"/>
      <c r="DZ21" s="86"/>
      <c r="EA21" s="86"/>
      <c r="EB21" s="86"/>
      <c r="EC21" s="86"/>
      <c r="ED21" s="84"/>
      <c r="EE21" s="84"/>
      <c r="EF21" s="84"/>
      <c r="EG21" s="86"/>
      <c r="EH21" s="86"/>
      <c r="EI21" s="86"/>
      <c r="EJ21" s="86"/>
      <c r="EK21" s="86"/>
      <c r="EL21" s="84"/>
      <c r="EM21" s="84"/>
      <c r="EN21" s="86">
        <f t="shared" si="13"/>
        <v>61.099999999999994</v>
      </c>
      <c r="EO21" s="90">
        <f t="shared" si="14"/>
        <v>9.6498704654518566</v>
      </c>
      <c r="EP21" s="86">
        <f t="shared" si="15"/>
        <v>8</v>
      </c>
      <c r="EQ21" s="86">
        <f t="shared" si="16"/>
        <v>8</v>
      </c>
      <c r="ER21" s="86">
        <f t="shared" si="17"/>
        <v>63.9</v>
      </c>
      <c r="ES21" s="90">
        <f t="shared" si="18"/>
        <v>10</v>
      </c>
      <c r="ET21" s="86">
        <f t="shared" si="19"/>
        <v>8</v>
      </c>
      <c r="EU21" s="86">
        <f t="shared" si="20"/>
        <v>8</v>
      </c>
      <c r="EV21" s="86">
        <f t="shared" si="3"/>
        <v>9.8264947972305983</v>
      </c>
      <c r="EW21" s="86">
        <f t="shared" si="4"/>
        <v>-0.28494392535465735</v>
      </c>
      <c r="EX21" s="86">
        <f t="shared" si="5"/>
        <v>0.25253728251864127</v>
      </c>
      <c r="EY21" s="86">
        <f t="shared" si="6"/>
        <v>0.94545454545454544</v>
      </c>
      <c r="EZ21" s="83">
        <f t="shared" si="7"/>
        <v>-0.26940152942622148</v>
      </c>
      <c r="FA21" s="83">
        <f t="shared" si="8"/>
        <v>0.22573911138195238</v>
      </c>
      <c r="FB21" s="83">
        <f t="shared" si="9"/>
        <v>16</v>
      </c>
      <c r="FC21" s="84" t="s">
        <v>385</v>
      </c>
    </row>
    <row r="22" spans="1:159" s="82" customFormat="1" ht="17.100000000000001" customHeight="1">
      <c r="A22" s="78" t="s">
        <v>1831</v>
      </c>
      <c r="B22" s="96" t="s">
        <v>1422</v>
      </c>
      <c r="C22" s="80" t="str">
        <f t="shared" si="10"/>
        <v>Collins, B. M., Moghaddas, J. J., &amp; Stephens, S. L.  2007.  Initial changes in forest structure and understory plant communities following fuel reduction activities in a Sierra Nevada mixed conifer forest. Forest Ecology and Management. 239: 102-111.</v>
      </c>
      <c r="D22" s="91" t="s">
        <v>1499</v>
      </c>
      <c r="E22" s="91">
        <v>2007</v>
      </c>
      <c r="F22" s="96" t="s">
        <v>930</v>
      </c>
      <c r="G22" s="96" t="s">
        <v>20</v>
      </c>
      <c r="H22" s="91">
        <v>239</v>
      </c>
      <c r="I22" s="92" t="s">
        <v>931</v>
      </c>
      <c r="J22" s="79"/>
      <c r="K22" s="96" t="s">
        <v>932</v>
      </c>
      <c r="L22" s="82" t="s">
        <v>18</v>
      </c>
      <c r="M22" s="83" t="s">
        <v>164</v>
      </c>
      <c r="N22" s="82" t="s">
        <v>389</v>
      </c>
      <c r="P22" s="91" t="s">
        <v>16</v>
      </c>
      <c r="Q22" s="96" t="s">
        <v>15</v>
      </c>
      <c r="R22" s="96" t="s">
        <v>14</v>
      </c>
      <c r="S22" s="96" t="s">
        <v>1564</v>
      </c>
      <c r="T22" s="96" t="s">
        <v>933</v>
      </c>
      <c r="U22" s="96" t="s">
        <v>934</v>
      </c>
      <c r="V22" s="91">
        <v>38.909999999999997</v>
      </c>
      <c r="W22" s="91">
        <v>-120.66</v>
      </c>
      <c r="X22" s="91" t="s">
        <v>935</v>
      </c>
      <c r="Y22" s="66" t="s">
        <v>1894</v>
      </c>
      <c r="Z22" s="66" t="s">
        <v>2201</v>
      </c>
      <c r="AA22" s="97" t="s">
        <v>49</v>
      </c>
      <c r="AB22" s="79" t="s">
        <v>103</v>
      </c>
      <c r="AC22" s="82" t="s">
        <v>135</v>
      </c>
      <c r="AF22" s="82" t="s">
        <v>86</v>
      </c>
      <c r="AG22" s="82" t="s">
        <v>91</v>
      </c>
      <c r="AH22" s="82" t="s">
        <v>106</v>
      </c>
      <c r="AI22" s="82" t="s">
        <v>272</v>
      </c>
      <c r="AJ22" s="86">
        <v>3</v>
      </c>
      <c r="AK22" s="86">
        <v>1</v>
      </c>
      <c r="AL22" s="86">
        <v>1</v>
      </c>
      <c r="AM22" s="84" t="s">
        <v>936</v>
      </c>
      <c r="AN22" s="84" t="s">
        <v>937</v>
      </c>
      <c r="AO22" s="84" t="s">
        <v>524</v>
      </c>
      <c r="AP22" s="68" t="s">
        <v>2228</v>
      </c>
      <c r="AQ22" s="82" t="s">
        <v>94</v>
      </c>
      <c r="AR22" s="86">
        <v>1</v>
      </c>
      <c r="AS22" s="86">
        <v>20</v>
      </c>
      <c r="AT22" s="86"/>
      <c r="AU22" s="87"/>
      <c r="AV22" s="88">
        <v>1</v>
      </c>
      <c r="AX22" s="82" t="s">
        <v>80</v>
      </c>
      <c r="AY22" s="86">
        <v>3</v>
      </c>
      <c r="AZ22" s="86">
        <v>1</v>
      </c>
      <c r="BA22" s="86">
        <v>20</v>
      </c>
      <c r="BB22" s="86"/>
      <c r="BD22" s="83" t="s">
        <v>124</v>
      </c>
      <c r="BE22" s="82" t="s">
        <v>182</v>
      </c>
      <c r="BF22" s="83" t="s">
        <v>121</v>
      </c>
      <c r="BG22" s="82" t="s">
        <v>938</v>
      </c>
      <c r="BH22" s="82" t="s">
        <v>81</v>
      </c>
      <c r="BI22" s="84" t="s">
        <v>939</v>
      </c>
      <c r="BJ22" s="89">
        <f t="shared" ref="BJ22:BJ46" si="22">BK22/12</f>
        <v>0.58333333333333337</v>
      </c>
      <c r="BK22" s="84">
        <v>7</v>
      </c>
      <c r="BL22" s="84">
        <v>7</v>
      </c>
      <c r="BM22" s="88">
        <v>0.58333333333333337</v>
      </c>
      <c r="BN22" s="82" t="s">
        <v>379</v>
      </c>
      <c r="BO22" s="82" t="s">
        <v>940</v>
      </c>
      <c r="BP22" s="82" t="s">
        <v>64</v>
      </c>
      <c r="BR22" s="82" t="s">
        <v>1857</v>
      </c>
      <c r="BS22" s="82" t="s">
        <v>2145</v>
      </c>
      <c r="BU22" s="86"/>
      <c r="BV22" s="86"/>
      <c r="BW22" s="90"/>
      <c r="BX22" s="86"/>
      <c r="BY22" s="86"/>
      <c r="CC22" s="86"/>
      <c r="CD22" s="86"/>
      <c r="CE22" s="90"/>
      <c r="CF22" s="86"/>
      <c r="CG22" s="86"/>
      <c r="CK22" s="86"/>
      <c r="CL22" s="86"/>
      <c r="CM22" s="86"/>
      <c r="CN22" s="86"/>
      <c r="CO22" s="86"/>
      <c r="CS22" s="86"/>
      <c r="CT22" s="86"/>
      <c r="CU22" s="86"/>
      <c r="CV22" s="86"/>
      <c r="CW22" s="86"/>
      <c r="DQ22" s="79"/>
      <c r="DR22" s="79"/>
      <c r="DX22" s="82" t="s">
        <v>572</v>
      </c>
      <c r="DY22" s="86">
        <v>-0.84</v>
      </c>
      <c r="DZ22" s="86">
        <v>0.32</v>
      </c>
      <c r="EA22" s="86">
        <v>2.4787093415727468</v>
      </c>
      <c r="EB22" s="86">
        <v>60</v>
      </c>
      <c r="EC22" s="86">
        <v>60</v>
      </c>
      <c r="ED22" s="82" t="s">
        <v>941</v>
      </c>
      <c r="EE22" s="82" t="s">
        <v>1606</v>
      </c>
      <c r="EF22" s="82" t="s">
        <v>614</v>
      </c>
      <c r="EG22" s="86">
        <v>1.54</v>
      </c>
      <c r="EH22" s="86">
        <v>0.12</v>
      </c>
      <c r="EI22" s="86">
        <v>0.92951600308978</v>
      </c>
      <c r="EJ22" s="86">
        <v>60</v>
      </c>
      <c r="EK22" s="86">
        <v>60</v>
      </c>
      <c r="EL22" s="82" t="s">
        <v>941</v>
      </c>
      <c r="EM22" s="82" t="s">
        <v>942</v>
      </c>
      <c r="EN22" s="86">
        <f t="shared" ref="EN22:EN32" si="23">DY22</f>
        <v>-0.84</v>
      </c>
      <c r="EO22" s="86">
        <f t="shared" ref="EO22:EO32" si="24">EA22</f>
        <v>2.4787093415727468</v>
      </c>
      <c r="EP22" s="86">
        <f t="shared" ref="EP22:EP32" si="25">EB22</f>
        <v>60</v>
      </c>
      <c r="EQ22" s="86">
        <f t="shared" ref="EQ22:EQ32" si="26">EC22</f>
        <v>60</v>
      </c>
      <c r="ER22" s="86">
        <f t="shared" ref="ER22:ER32" si="27">EG22</f>
        <v>1.54</v>
      </c>
      <c r="ES22" s="86">
        <f t="shared" ref="ES22:ES32" si="28">EI22</f>
        <v>0.92951600308978</v>
      </c>
      <c r="ET22" s="86">
        <f t="shared" ref="ET22:ET32" si="29">EJ22</f>
        <v>60</v>
      </c>
      <c r="EU22" s="86">
        <f t="shared" ref="EU22:EU32" si="30">EK22</f>
        <v>60</v>
      </c>
      <c r="EV22" s="86">
        <f t="shared" si="3"/>
        <v>1.8718974330876144</v>
      </c>
      <c r="EW22" s="86">
        <f t="shared" si="4"/>
        <v>-1.2714371834327975</v>
      </c>
      <c r="EX22" s="86">
        <f t="shared" si="5"/>
        <v>4.0068968797564691E-2</v>
      </c>
      <c r="EY22" s="86">
        <f t="shared" si="6"/>
        <v>0.99363057324840764</v>
      </c>
      <c r="EZ22" s="83">
        <f t="shared" si="7"/>
        <v>-1.2633388574236715</v>
      </c>
      <c r="FA22" s="83">
        <f t="shared" si="8"/>
        <v>3.9560161655950929E-2</v>
      </c>
      <c r="FB22" s="83">
        <f t="shared" si="9"/>
        <v>120</v>
      </c>
      <c r="FC22" s="82" t="s">
        <v>385</v>
      </c>
    </row>
    <row r="23" spans="1:159" s="82" customFormat="1" ht="17.100000000000001" customHeight="1">
      <c r="A23" s="78" t="s">
        <v>1831</v>
      </c>
      <c r="B23" s="91" t="s">
        <v>1422</v>
      </c>
      <c r="C23" s="80" t="str">
        <f t="shared" si="10"/>
        <v>Collins, B. M., Moghaddas, J. J., &amp; Stephens, S. L.  2007.  Initial changes in forest structure and understory plant communities following fuel reduction activities in a Sierra Nevada mixed conifer forest. Forest Ecology and Management. 239: 102-111.</v>
      </c>
      <c r="D23" s="91" t="s">
        <v>1499</v>
      </c>
      <c r="E23" s="91">
        <v>2007</v>
      </c>
      <c r="F23" s="91" t="s">
        <v>930</v>
      </c>
      <c r="G23" s="91" t="s">
        <v>20</v>
      </c>
      <c r="H23" s="91">
        <v>239</v>
      </c>
      <c r="I23" s="92" t="s">
        <v>931</v>
      </c>
      <c r="J23" s="81"/>
      <c r="K23" s="91" t="s">
        <v>932</v>
      </c>
      <c r="L23" s="84" t="s">
        <v>18</v>
      </c>
      <c r="M23" s="93" t="s">
        <v>164</v>
      </c>
      <c r="N23" s="84" t="s">
        <v>389</v>
      </c>
      <c r="O23" s="84"/>
      <c r="P23" s="91" t="s">
        <v>16</v>
      </c>
      <c r="Q23" s="91" t="s">
        <v>15</v>
      </c>
      <c r="R23" s="91" t="s">
        <v>14</v>
      </c>
      <c r="S23" s="96" t="s">
        <v>1564</v>
      </c>
      <c r="T23" s="91" t="s">
        <v>933</v>
      </c>
      <c r="U23" s="91" t="s">
        <v>934</v>
      </c>
      <c r="V23" s="91">
        <v>38.909999999999997</v>
      </c>
      <c r="W23" s="91">
        <v>-120.66</v>
      </c>
      <c r="X23" s="91" t="s">
        <v>935</v>
      </c>
      <c r="Y23" s="66" t="s">
        <v>1894</v>
      </c>
      <c r="Z23" s="66" t="s">
        <v>2201</v>
      </c>
      <c r="AA23" s="95" t="s">
        <v>49</v>
      </c>
      <c r="AB23" s="81" t="s">
        <v>103</v>
      </c>
      <c r="AC23" s="84" t="s">
        <v>135</v>
      </c>
      <c r="AD23" s="84"/>
      <c r="AE23" s="84"/>
      <c r="AF23" s="84" t="s">
        <v>86</v>
      </c>
      <c r="AG23" s="84" t="s">
        <v>91</v>
      </c>
      <c r="AH23" s="84" t="s">
        <v>106</v>
      </c>
      <c r="AI23" s="84" t="s">
        <v>272</v>
      </c>
      <c r="AJ23" s="86">
        <v>3</v>
      </c>
      <c r="AK23" s="86">
        <v>1</v>
      </c>
      <c r="AL23" s="86">
        <v>1</v>
      </c>
      <c r="AM23" s="84" t="s">
        <v>936</v>
      </c>
      <c r="AN23" s="84" t="s">
        <v>937</v>
      </c>
      <c r="AO23" s="84" t="s">
        <v>524</v>
      </c>
      <c r="AP23" s="68" t="s">
        <v>2228</v>
      </c>
      <c r="AQ23" s="84" t="s">
        <v>94</v>
      </c>
      <c r="AR23" s="86">
        <v>1</v>
      </c>
      <c r="AS23" s="86">
        <v>20</v>
      </c>
      <c r="AT23" s="84"/>
      <c r="AU23" s="84"/>
      <c r="AV23" s="88">
        <v>1</v>
      </c>
      <c r="AW23" s="84"/>
      <c r="AX23" s="84" t="s">
        <v>80</v>
      </c>
      <c r="AY23" s="86">
        <v>3</v>
      </c>
      <c r="AZ23" s="86">
        <v>1</v>
      </c>
      <c r="BA23" s="86">
        <v>20</v>
      </c>
      <c r="BB23" s="84"/>
      <c r="BC23" s="84"/>
      <c r="BD23" s="93" t="s">
        <v>124</v>
      </c>
      <c r="BE23" s="84" t="s">
        <v>182</v>
      </c>
      <c r="BF23" s="83" t="s">
        <v>2156</v>
      </c>
      <c r="BG23" s="84" t="s">
        <v>938</v>
      </c>
      <c r="BH23" s="84" t="s">
        <v>81</v>
      </c>
      <c r="BI23" s="84" t="s">
        <v>939</v>
      </c>
      <c r="BJ23" s="89">
        <f t="shared" si="22"/>
        <v>0.58333333333333337</v>
      </c>
      <c r="BK23" s="84">
        <v>7</v>
      </c>
      <c r="BL23" s="84">
        <v>7</v>
      </c>
      <c r="BM23" s="88">
        <v>0.58333333333333337</v>
      </c>
      <c r="BN23" s="84" t="s">
        <v>379</v>
      </c>
      <c r="BO23" s="84" t="s">
        <v>940</v>
      </c>
      <c r="BP23" s="84" t="s">
        <v>64</v>
      </c>
      <c r="BQ23" s="84"/>
      <c r="BR23" s="84" t="s">
        <v>1858</v>
      </c>
      <c r="BS23" s="84" t="s">
        <v>1057</v>
      </c>
      <c r="BT23" s="84"/>
      <c r="BU23" s="86"/>
      <c r="BV23" s="86"/>
      <c r="BW23" s="90"/>
      <c r="BX23" s="86"/>
      <c r="BY23" s="86"/>
      <c r="BZ23" s="84"/>
      <c r="CA23" s="84"/>
      <c r="CB23" s="84"/>
      <c r="CC23" s="86"/>
      <c r="CD23" s="86"/>
      <c r="CE23" s="90"/>
      <c r="CF23" s="86"/>
      <c r="CG23" s="86"/>
      <c r="CH23" s="84"/>
      <c r="CI23" s="84"/>
      <c r="CJ23" s="84"/>
      <c r="CK23" s="86"/>
      <c r="CL23" s="86"/>
      <c r="CM23" s="86"/>
      <c r="CN23" s="86"/>
      <c r="CO23" s="86"/>
      <c r="CP23" s="84"/>
      <c r="CQ23" s="84"/>
      <c r="CR23" s="84"/>
      <c r="CS23" s="86"/>
      <c r="CT23" s="86"/>
      <c r="CU23" s="86"/>
      <c r="CV23" s="86"/>
      <c r="CW23" s="86"/>
      <c r="CX23" s="84"/>
      <c r="CY23" s="84"/>
      <c r="CZ23" s="84"/>
      <c r="DF23" s="84"/>
      <c r="DG23" s="84"/>
      <c r="DH23" s="84"/>
      <c r="DO23" s="84"/>
      <c r="DP23" s="84"/>
      <c r="DQ23" s="79"/>
      <c r="DR23" s="79"/>
      <c r="DV23" s="84"/>
      <c r="DW23" s="84"/>
      <c r="DX23" s="84" t="s">
        <v>572</v>
      </c>
      <c r="DY23" s="86">
        <v>0.19</v>
      </c>
      <c r="DZ23" s="86">
        <v>0.08</v>
      </c>
      <c r="EA23" s="86">
        <v>0.6196773353931867</v>
      </c>
      <c r="EB23" s="86">
        <v>60</v>
      </c>
      <c r="EC23" s="86">
        <v>60</v>
      </c>
      <c r="ED23" s="84" t="s">
        <v>941</v>
      </c>
      <c r="EE23" s="82" t="s">
        <v>1606</v>
      </c>
      <c r="EF23" s="84" t="s">
        <v>614</v>
      </c>
      <c r="EG23" s="86">
        <v>-0.04</v>
      </c>
      <c r="EH23" s="86">
        <v>0.05</v>
      </c>
      <c r="EI23" s="86">
        <v>0.3872983346207417</v>
      </c>
      <c r="EJ23" s="86">
        <v>60</v>
      </c>
      <c r="EK23" s="86">
        <v>60</v>
      </c>
      <c r="EL23" s="84" t="s">
        <v>941</v>
      </c>
      <c r="EM23" s="84" t="s">
        <v>942</v>
      </c>
      <c r="EN23" s="86">
        <f t="shared" si="23"/>
        <v>0.19</v>
      </c>
      <c r="EO23" s="86">
        <f t="shared" si="24"/>
        <v>0.6196773353931867</v>
      </c>
      <c r="EP23" s="86">
        <f t="shared" si="25"/>
        <v>60</v>
      </c>
      <c r="EQ23" s="86">
        <f t="shared" si="26"/>
        <v>60</v>
      </c>
      <c r="ER23" s="86">
        <f t="shared" si="27"/>
        <v>-0.04</v>
      </c>
      <c r="ES23" s="86">
        <f t="shared" si="28"/>
        <v>0.3872983346207417</v>
      </c>
      <c r="ET23" s="86">
        <f t="shared" si="29"/>
        <v>60</v>
      </c>
      <c r="EU23" s="86">
        <f t="shared" si="30"/>
        <v>60</v>
      </c>
      <c r="EV23" s="86">
        <f t="shared" si="3"/>
        <v>0.51672042731055257</v>
      </c>
      <c r="EW23" s="86">
        <f t="shared" si="4"/>
        <v>0.44511497483680551</v>
      </c>
      <c r="EX23" s="86">
        <f t="shared" si="5"/>
        <v>3.4158863920099876E-2</v>
      </c>
      <c r="EY23" s="86">
        <f t="shared" si="6"/>
        <v>0.99363057324840764</v>
      </c>
      <c r="EZ23" s="83">
        <f t="shared" si="7"/>
        <v>0.44227984760854561</v>
      </c>
      <c r="FA23" s="83">
        <f t="shared" si="8"/>
        <v>3.3725104968134634E-2</v>
      </c>
      <c r="FB23" s="83">
        <f t="shared" si="9"/>
        <v>120</v>
      </c>
      <c r="FC23" s="82" t="s">
        <v>385</v>
      </c>
    </row>
    <row r="24" spans="1:159" s="82" customFormat="1" ht="17.100000000000001" customHeight="1">
      <c r="A24" s="78" t="s">
        <v>1831</v>
      </c>
      <c r="B24" s="91" t="s">
        <v>1422</v>
      </c>
      <c r="C24" s="80" t="str">
        <f t="shared" si="10"/>
        <v>Collins, B. M., Moghaddas, J. J., &amp; Stephens, S. L.  2007.  Initial changes in forest structure and understory plant communities following fuel reduction activities in a Sierra Nevada mixed conifer forest. Forest Ecology and Management. 239: 102-111.</v>
      </c>
      <c r="D24" s="91" t="s">
        <v>1499</v>
      </c>
      <c r="E24" s="91">
        <v>2007</v>
      </c>
      <c r="F24" s="91" t="s">
        <v>930</v>
      </c>
      <c r="G24" s="91" t="s">
        <v>20</v>
      </c>
      <c r="H24" s="91">
        <v>239</v>
      </c>
      <c r="I24" s="92" t="s">
        <v>931</v>
      </c>
      <c r="J24" s="81"/>
      <c r="K24" s="91" t="s">
        <v>932</v>
      </c>
      <c r="L24" s="84" t="s">
        <v>18</v>
      </c>
      <c r="M24" s="93" t="s">
        <v>164</v>
      </c>
      <c r="N24" s="84" t="s">
        <v>389</v>
      </c>
      <c r="O24" s="84"/>
      <c r="P24" s="91" t="s">
        <v>16</v>
      </c>
      <c r="Q24" s="91" t="s">
        <v>15</v>
      </c>
      <c r="R24" s="91" t="s">
        <v>14</v>
      </c>
      <c r="S24" s="96" t="s">
        <v>1564</v>
      </c>
      <c r="T24" s="91" t="s">
        <v>933</v>
      </c>
      <c r="U24" s="91" t="s">
        <v>934</v>
      </c>
      <c r="V24" s="91">
        <v>38.909999999999997</v>
      </c>
      <c r="W24" s="91">
        <v>-120.66</v>
      </c>
      <c r="X24" s="91" t="s">
        <v>935</v>
      </c>
      <c r="Y24" s="66" t="s">
        <v>1894</v>
      </c>
      <c r="Z24" s="66" t="s">
        <v>2201</v>
      </c>
      <c r="AA24" s="95" t="s">
        <v>49</v>
      </c>
      <c r="AB24" s="81" t="s">
        <v>103</v>
      </c>
      <c r="AC24" s="84" t="s">
        <v>135</v>
      </c>
      <c r="AD24" s="84"/>
      <c r="AE24" s="84"/>
      <c r="AF24" s="84" t="s">
        <v>86</v>
      </c>
      <c r="AG24" s="84" t="s">
        <v>91</v>
      </c>
      <c r="AH24" s="84" t="s">
        <v>106</v>
      </c>
      <c r="AI24" s="84" t="s">
        <v>272</v>
      </c>
      <c r="AJ24" s="86">
        <v>3</v>
      </c>
      <c r="AK24" s="86">
        <v>1</v>
      </c>
      <c r="AL24" s="86">
        <v>1</v>
      </c>
      <c r="AM24" s="84" t="s">
        <v>936</v>
      </c>
      <c r="AN24" s="84" t="s">
        <v>937</v>
      </c>
      <c r="AO24" s="84" t="s">
        <v>524</v>
      </c>
      <c r="AP24" s="68" t="s">
        <v>2228</v>
      </c>
      <c r="AQ24" s="84" t="s">
        <v>94</v>
      </c>
      <c r="AR24" s="86">
        <v>1</v>
      </c>
      <c r="AS24" s="86">
        <v>20</v>
      </c>
      <c r="AT24" s="84"/>
      <c r="AU24" s="84"/>
      <c r="AV24" s="88">
        <v>1</v>
      </c>
      <c r="AW24" s="84"/>
      <c r="AX24" s="84" t="s">
        <v>80</v>
      </c>
      <c r="AY24" s="86">
        <v>3</v>
      </c>
      <c r="AZ24" s="86">
        <v>1</v>
      </c>
      <c r="BA24" s="86">
        <v>20</v>
      </c>
      <c r="BB24" s="84"/>
      <c r="BC24" s="84"/>
      <c r="BD24" s="93" t="s">
        <v>124</v>
      </c>
      <c r="BE24" s="84" t="s">
        <v>182</v>
      </c>
      <c r="BF24" s="93" t="s">
        <v>2102</v>
      </c>
      <c r="BG24" s="84" t="s">
        <v>938</v>
      </c>
      <c r="BH24" s="84" t="s">
        <v>81</v>
      </c>
      <c r="BI24" s="84" t="s">
        <v>939</v>
      </c>
      <c r="BJ24" s="89">
        <f t="shared" si="22"/>
        <v>0.58333333333333337</v>
      </c>
      <c r="BK24" s="84">
        <v>7</v>
      </c>
      <c r="BL24" s="84">
        <v>7</v>
      </c>
      <c r="BM24" s="88">
        <v>0.58333333333333337</v>
      </c>
      <c r="BN24" s="84" t="s">
        <v>379</v>
      </c>
      <c r="BO24" s="84" t="s">
        <v>940</v>
      </c>
      <c r="BP24" s="84" t="s">
        <v>64</v>
      </c>
      <c r="BQ24" s="84"/>
      <c r="BR24" s="84" t="s">
        <v>2103</v>
      </c>
      <c r="BS24" s="84" t="s">
        <v>2146</v>
      </c>
      <c r="BT24" s="84"/>
      <c r="BU24" s="86"/>
      <c r="BV24" s="86"/>
      <c r="BW24" s="90"/>
      <c r="BX24" s="86"/>
      <c r="BY24" s="86"/>
      <c r="BZ24" s="84"/>
      <c r="CA24" s="84"/>
      <c r="CB24" s="84"/>
      <c r="CC24" s="86"/>
      <c r="CD24" s="86"/>
      <c r="CE24" s="90"/>
      <c r="CF24" s="86"/>
      <c r="CG24" s="86"/>
      <c r="CH24" s="84"/>
      <c r="CI24" s="84"/>
      <c r="CJ24" s="84"/>
      <c r="CK24" s="86"/>
      <c r="CL24" s="86"/>
      <c r="CM24" s="86"/>
      <c r="CN24" s="86"/>
      <c r="CO24" s="86"/>
      <c r="CP24" s="84"/>
      <c r="CQ24" s="84"/>
      <c r="CR24" s="84"/>
      <c r="CS24" s="86"/>
      <c r="CT24" s="86"/>
      <c r="CU24" s="86"/>
      <c r="CV24" s="86"/>
      <c r="CW24" s="86"/>
      <c r="CX24" s="84"/>
      <c r="CY24" s="84"/>
      <c r="CZ24" s="84"/>
      <c r="DF24" s="84"/>
      <c r="DG24" s="84"/>
      <c r="DH24" s="84"/>
      <c r="DO24" s="84"/>
      <c r="DP24" s="84"/>
      <c r="DQ24" s="79"/>
      <c r="DR24" s="79"/>
      <c r="DV24" s="84"/>
      <c r="DW24" s="84"/>
      <c r="DX24" s="84" t="s">
        <v>572</v>
      </c>
      <c r="DY24" s="86">
        <v>-0.64999999999999991</v>
      </c>
      <c r="DZ24" s="86"/>
      <c r="EA24" s="86">
        <v>2.55499510762741</v>
      </c>
      <c r="EB24" s="86">
        <v>60</v>
      </c>
      <c r="EC24" s="86">
        <v>60</v>
      </c>
      <c r="ED24" s="84" t="s">
        <v>941</v>
      </c>
      <c r="EE24" s="82" t="s">
        <v>1606</v>
      </c>
      <c r="EF24" s="84" t="s">
        <v>614</v>
      </c>
      <c r="EG24" s="86">
        <v>1.5</v>
      </c>
      <c r="EH24" s="86"/>
      <c r="EI24" s="86">
        <v>1.0069756700139283</v>
      </c>
      <c r="EJ24" s="86">
        <v>60</v>
      </c>
      <c r="EK24" s="86">
        <v>60</v>
      </c>
      <c r="EL24" s="84" t="s">
        <v>941</v>
      </c>
      <c r="EM24" s="84" t="s">
        <v>942</v>
      </c>
      <c r="EN24" s="86">
        <f t="shared" si="23"/>
        <v>-0.64999999999999991</v>
      </c>
      <c r="EO24" s="86">
        <f t="shared" si="24"/>
        <v>2.55499510762741</v>
      </c>
      <c r="EP24" s="86">
        <f t="shared" si="25"/>
        <v>60</v>
      </c>
      <c r="EQ24" s="86">
        <f t="shared" si="26"/>
        <v>60</v>
      </c>
      <c r="ER24" s="86">
        <f t="shared" si="27"/>
        <v>1.5</v>
      </c>
      <c r="ES24" s="86">
        <f t="shared" si="28"/>
        <v>1.0069756700139283</v>
      </c>
      <c r="ET24" s="86">
        <f t="shared" si="29"/>
        <v>60</v>
      </c>
      <c r="EU24" s="86">
        <f t="shared" si="30"/>
        <v>60</v>
      </c>
      <c r="EV24" s="86">
        <f t="shared" si="3"/>
        <v>1.9419062799218709</v>
      </c>
      <c r="EW24" s="86">
        <f t="shared" si="4"/>
        <v>-1.1071595072479508</v>
      </c>
      <c r="EX24" s="86">
        <f t="shared" si="5"/>
        <v>3.8440842393706355E-2</v>
      </c>
      <c r="EY24" s="86">
        <f t="shared" si="6"/>
        <v>0.99363057324840764</v>
      </c>
      <c r="EZ24" s="83">
        <f t="shared" si="7"/>
        <v>-1.1001075358642058</v>
      </c>
      <c r="FA24" s="83">
        <f t="shared" si="8"/>
        <v>3.7952709663403701E-2</v>
      </c>
      <c r="FB24" s="83">
        <f t="shared" si="9"/>
        <v>120</v>
      </c>
      <c r="FC24" s="82" t="s">
        <v>385</v>
      </c>
    </row>
    <row r="25" spans="1:159" s="82" customFormat="1" ht="17.100000000000001" customHeight="1">
      <c r="A25" s="78" t="s">
        <v>1802</v>
      </c>
      <c r="B25" s="91" t="s">
        <v>871</v>
      </c>
      <c r="C25" s="80" t="str">
        <f t="shared" si="10"/>
        <v>Cook, J. E., Jensen, N., &amp; Galbraith, B.  2008.  Compositional, cover, and diversity changes after prescribed fire in a mature eastern white pine forest. Botany. 86: 1427-1439.</v>
      </c>
      <c r="D25" s="81" t="s">
        <v>1473</v>
      </c>
      <c r="E25" s="81">
        <v>2008</v>
      </c>
      <c r="F25" s="91" t="s">
        <v>872</v>
      </c>
      <c r="G25" s="91" t="s">
        <v>873</v>
      </c>
      <c r="H25" s="91">
        <v>86</v>
      </c>
      <c r="I25" s="92" t="s">
        <v>874</v>
      </c>
      <c r="J25" s="81"/>
      <c r="K25" s="91" t="s">
        <v>875</v>
      </c>
      <c r="L25" s="84" t="s">
        <v>18</v>
      </c>
      <c r="M25" s="95" t="s">
        <v>73</v>
      </c>
      <c r="N25" s="84" t="s">
        <v>389</v>
      </c>
      <c r="O25" s="84"/>
      <c r="P25" s="91" t="s">
        <v>16</v>
      </c>
      <c r="Q25" s="91" t="s">
        <v>876</v>
      </c>
      <c r="R25" s="91" t="s">
        <v>877</v>
      </c>
      <c r="S25" s="91"/>
      <c r="T25" s="91" t="s">
        <v>878</v>
      </c>
      <c r="U25" s="91" t="s">
        <v>879</v>
      </c>
      <c r="V25" s="91">
        <v>45.12</v>
      </c>
      <c r="W25" s="91">
        <v>-88.28</v>
      </c>
      <c r="X25" s="81"/>
      <c r="Y25" s="66" t="s">
        <v>1897</v>
      </c>
      <c r="Z25" s="66" t="s">
        <v>2203</v>
      </c>
      <c r="AA25" s="93" t="s">
        <v>49</v>
      </c>
      <c r="AB25" s="84" t="s">
        <v>103</v>
      </c>
      <c r="AC25" s="81" t="s">
        <v>135</v>
      </c>
      <c r="AD25" s="84" t="s">
        <v>880</v>
      </c>
      <c r="AE25" s="84"/>
      <c r="AF25" s="84" t="s">
        <v>156</v>
      </c>
      <c r="AG25" s="84" t="s">
        <v>92</v>
      </c>
      <c r="AH25" s="84" t="s">
        <v>106</v>
      </c>
      <c r="AI25" s="84" t="s">
        <v>272</v>
      </c>
      <c r="AJ25" s="86">
        <v>4</v>
      </c>
      <c r="AK25" s="86">
        <v>1</v>
      </c>
      <c r="AL25" s="86">
        <v>1</v>
      </c>
      <c r="AM25" s="84" t="s">
        <v>881</v>
      </c>
      <c r="AN25" s="84" t="s">
        <v>829</v>
      </c>
      <c r="AO25" s="84" t="s">
        <v>526</v>
      </c>
      <c r="AP25" s="68" t="s">
        <v>2227</v>
      </c>
      <c r="AQ25" s="84" t="s">
        <v>94</v>
      </c>
      <c r="AR25" s="108">
        <v>1</v>
      </c>
      <c r="AS25" s="108">
        <v>16</v>
      </c>
      <c r="AT25" s="86"/>
      <c r="AU25" s="90"/>
      <c r="AV25" s="88">
        <v>0.48</v>
      </c>
      <c r="AW25" s="84"/>
      <c r="AX25" s="84" t="s">
        <v>80</v>
      </c>
      <c r="AY25" s="86">
        <v>6</v>
      </c>
      <c r="AZ25" s="86">
        <v>1</v>
      </c>
      <c r="BA25" s="86">
        <v>16</v>
      </c>
      <c r="BB25" s="86"/>
      <c r="BC25" s="84"/>
      <c r="BD25" s="93" t="s">
        <v>124</v>
      </c>
      <c r="BE25" s="84" t="s">
        <v>182</v>
      </c>
      <c r="BF25" s="109" t="s">
        <v>110</v>
      </c>
      <c r="BG25" s="110" t="s">
        <v>21</v>
      </c>
      <c r="BH25" s="84" t="s">
        <v>22</v>
      </c>
      <c r="BI25" s="84" t="s">
        <v>380</v>
      </c>
      <c r="BJ25" s="89">
        <f t="shared" si="22"/>
        <v>2.0833333333333335</v>
      </c>
      <c r="BK25" s="84">
        <v>25</v>
      </c>
      <c r="BL25" s="84">
        <v>25</v>
      </c>
      <c r="BM25" s="88">
        <v>2.0833333333333335</v>
      </c>
      <c r="BN25" s="84" t="s">
        <v>389</v>
      </c>
      <c r="BO25" s="84" t="s">
        <v>342</v>
      </c>
      <c r="BP25" s="84" t="s">
        <v>64</v>
      </c>
      <c r="BQ25" s="84"/>
      <c r="BR25" s="81" t="s">
        <v>1778</v>
      </c>
      <c r="BS25" s="81" t="s">
        <v>388</v>
      </c>
      <c r="BT25" s="84"/>
      <c r="BU25" s="90"/>
      <c r="BV25" s="90"/>
      <c r="BW25" s="90"/>
      <c r="BX25" s="86"/>
      <c r="BY25" s="86"/>
      <c r="BZ25" s="84"/>
      <c r="CA25" s="84"/>
      <c r="CB25" s="84"/>
      <c r="CC25" s="90"/>
      <c r="CD25" s="90"/>
      <c r="CE25" s="90"/>
      <c r="CF25" s="86"/>
      <c r="CG25" s="86"/>
      <c r="CH25" s="84"/>
      <c r="CI25" s="84"/>
      <c r="CJ25" s="84"/>
      <c r="CK25" s="86"/>
      <c r="CL25" s="86"/>
      <c r="CM25" s="86"/>
      <c r="CN25" s="86"/>
      <c r="CO25" s="86"/>
      <c r="CP25" s="84"/>
      <c r="CQ25" s="84"/>
      <c r="CR25" s="84" t="s">
        <v>572</v>
      </c>
      <c r="CS25" s="86">
        <v>29.6</v>
      </c>
      <c r="CT25" s="86"/>
      <c r="CU25" s="86">
        <v>2.1640000000000001</v>
      </c>
      <c r="CV25" s="86">
        <v>4</v>
      </c>
      <c r="CW25" s="86">
        <v>4</v>
      </c>
      <c r="CX25" s="84" t="s">
        <v>1759</v>
      </c>
      <c r="CY25" s="84" t="s">
        <v>882</v>
      </c>
      <c r="CZ25" s="84" t="s">
        <v>80</v>
      </c>
      <c r="DA25" s="82">
        <v>34.75</v>
      </c>
      <c r="DC25" s="82">
        <v>5.0220000000000002</v>
      </c>
      <c r="DD25" s="82">
        <v>6</v>
      </c>
      <c r="DE25" s="82">
        <v>6</v>
      </c>
      <c r="DF25" s="84" t="s">
        <v>1759</v>
      </c>
      <c r="DG25" s="84" t="s">
        <v>882</v>
      </c>
      <c r="DH25" s="84" t="s">
        <v>572</v>
      </c>
      <c r="DI25" s="82">
        <v>43.7</v>
      </c>
      <c r="DK25" s="82">
        <v>3.5110000000000001</v>
      </c>
      <c r="DL25" s="82">
        <v>4</v>
      </c>
      <c r="DM25" s="82">
        <v>4</v>
      </c>
      <c r="DN25" s="82" t="s">
        <v>1760</v>
      </c>
      <c r="DO25" s="111" t="s">
        <v>884</v>
      </c>
      <c r="DP25" s="84" t="s">
        <v>80</v>
      </c>
      <c r="DQ25" s="82">
        <v>36.5</v>
      </c>
      <c r="DS25" s="82">
        <v>4.9800000000000004</v>
      </c>
      <c r="DT25" s="82">
        <v>6</v>
      </c>
      <c r="DU25" s="82">
        <v>6</v>
      </c>
      <c r="DV25" s="84" t="s">
        <v>1760</v>
      </c>
      <c r="DW25" s="111" t="s">
        <v>884</v>
      </c>
      <c r="DX25" s="84" t="s">
        <v>1747</v>
      </c>
      <c r="DY25" s="86">
        <f>DI25-CS25</f>
        <v>14.100000000000001</v>
      </c>
      <c r="DZ25" s="86"/>
      <c r="EA25" s="86">
        <f>SQRT((CU25^2)+(DK25^2))</f>
        <v>4.1243201864064822</v>
      </c>
      <c r="EB25" s="86">
        <v>4</v>
      </c>
      <c r="EC25" s="86">
        <v>4</v>
      </c>
      <c r="ED25" s="84" t="s">
        <v>1743</v>
      </c>
      <c r="EE25" s="84" t="s">
        <v>1744</v>
      </c>
      <c r="EF25" s="84" t="s">
        <v>1746</v>
      </c>
      <c r="EG25" s="86">
        <f>DQ25-DA25</f>
        <v>1.75</v>
      </c>
      <c r="EH25" s="86"/>
      <c r="EI25" s="86">
        <f>SQRT((DS25^2)+(DC25^2))</f>
        <v>7.0725443795002096</v>
      </c>
      <c r="EJ25" s="86">
        <v>6</v>
      </c>
      <c r="EK25" s="86">
        <v>6</v>
      </c>
      <c r="EL25" s="84" t="s">
        <v>1743</v>
      </c>
      <c r="EM25" s="84" t="s">
        <v>1745</v>
      </c>
      <c r="EN25" s="86">
        <f t="shared" si="23"/>
        <v>14.100000000000001</v>
      </c>
      <c r="EO25" s="86">
        <f t="shared" si="24"/>
        <v>4.1243201864064822</v>
      </c>
      <c r="EP25" s="86">
        <f t="shared" si="25"/>
        <v>4</v>
      </c>
      <c r="EQ25" s="86">
        <f t="shared" si="26"/>
        <v>4</v>
      </c>
      <c r="ER25" s="86">
        <f t="shared" si="27"/>
        <v>1.75</v>
      </c>
      <c r="ES25" s="86">
        <f t="shared" si="28"/>
        <v>7.0725443795002096</v>
      </c>
      <c r="ET25" s="86">
        <f t="shared" si="29"/>
        <v>6</v>
      </c>
      <c r="EU25" s="86">
        <f t="shared" si="30"/>
        <v>6</v>
      </c>
      <c r="EV25" s="86">
        <f t="shared" si="3"/>
        <v>6.1352920773994128</v>
      </c>
      <c r="EW25" s="86">
        <f t="shared" si="4"/>
        <v>2.0129441017965095</v>
      </c>
      <c r="EX25" s="86">
        <f t="shared" si="5"/>
        <v>0.61926386451453452</v>
      </c>
      <c r="EY25" s="86">
        <f t="shared" si="6"/>
        <v>0.90322580645161288</v>
      </c>
      <c r="EZ25" s="83">
        <f t="shared" si="7"/>
        <v>1.8181430596871699</v>
      </c>
      <c r="FA25" s="83">
        <f t="shared" si="8"/>
        <v>0.50520589987450049</v>
      </c>
      <c r="FB25" s="83">
        <f t="shared" si="9"/>
        <v>10</v>
      </c>
      <c r="FC25" s="84" t="s">
        <v>385</v>
      </c>
    </row>
    <row r="26" spans="1:159" s="82" customFormat="1" ht="17.100000000000001" customHeight="1">
      <c r="A26" s="78" t="s">
        <v>1802</v>
      </c>
      <c r="B26" s="91" t="s">
        <v>871</v>
      </c>
      <c r="C26" s="80" t="str">
        <f t="shared" si="10"/>
        <v>Cook, J. E., Jensen, N., &amp; Galbraith, B.  2008.  Compositional, cover, and diversity changes after prescribed fire in a mature eastern white pine forest. Botany. 86: 1427-1439.</v>
      </c>
      <c r="D26" s="81" t="s">
        <v>1473</v>
      </c>
      <c r="E26" s="81">
        <v>2008</v>
      </c>
      <c r="F26" s="91" t="s">
        <v>872</v>
      </c>
      <c r="G26" s="91" t="s">
        <v>873</v>
      </c>
      <c r="H26" s="91">
        <v>86</v>
      </c>
      <c r="I26" s="92" t="s">
        <v>874</v>
      </c>
      <c r="J26" s="81"/>
      <c r="K26" s="91" t="s">
        <v>875</v>
      </c>
      <c r="L26" s="84" t="s">
        <v>18</v>
      </c>
      <c r="M26" s="95" t="s">
        <v>73</v>
      </c>
      <c r="N26" s="84" t="s">
        <v>389</v>
      </c>
      <c r="O26" s="84"/>
      <c r="P26" s="91" t="s">
        <v>16</v>
      </c>
      <c r="Q26" s="91" t="s">
        <v>876</v>
      </c>
      <c r="R26" s="91" t="s">
        <v>877</v>
      </c>
      <c r="S26" s="91"/>
      <c r="T26" s="91" t="s">
        <v>878</v>
      </c>
      <c r="U26" s="91" t="s">
        <v>879</v>
      </c>
      <c r="V26" s="91">
        <v>45.12</v>
      </c>
      <c r="W26" s="91">
        <v>-88.28</v>
      </c>
      <c r="X26" s="81"/>
      <c r="Y26" s="66" t="s">
        <v>1897</v>
      </c>
      <c r="Z26" s="66" t="s">
        <v>2203</v>
      </c>
      <c r="AA26" s="93" t="s">
        <v>49</v>
      </c>
      <c r="AB26" s="84" t="s">
        <v>103</v>
      </c>
      <c r="AC26" s="81" t="s">
        <v>135</v>
      </c>
      <c r="AD26" s="84" t="s">
        <v>880</v>
      </c>
      <c r="AE26" s="84"/>
      <c r="AF26" s="84" t="s">
        <v>156</v>
      </c>
      <c r="AG26" s="84" t="s">
        <v>92</v>
      </c>
      <c r="AH26" s="84" t="s">
        <v>106</v>
      </c>
      <c r="AI26" s="84" t="s">
        <v>272</v>
      </c>
      <c r="AJ26" s="86">
        <v>4</v>
      </c>
      <c r="AK26" s="86">
        <v>1</v>
      </c>
      <c r="AL26" s="86">
        <v>1</v>
      </c>
      <c r="AM26" s="84" t="s">
        <v>881</v>
      </c>
      <c r="AN26" s="84" t="s">
        <v>829</v>
      </c>
      <c r="AO26" s="84" t="s">
        <v>526</v>
      </c>
      <c r="AP26" s="68" t="s">
        <v>2227</v>
      </c>
      <c r="AQ26" s="84" t="s">
        <v>94</v>
      </c>
      <c r="AR26" s="108">
        <v>1</v>
      </c>
      <c r="AS26" s="108">
        <v>16</v>
      </c>
      <c r="AT26" s="86"/>
      <c r="AU26" s="90"/>
      <c r="AV26" s="88">
        <v>0.48</v>
      </c>
      <c r="AW26" s="84"/>
      <c r="AX26" s="84" t="s">
        <v>80</v>
      </c>
      <c r="AY26" s="86">
        <v>6</v>
      </c>
      <c r="AZ26" s="86">
        <v>1</v>
      </c>
      <c r="BA26" s="86">
        <v>16</v>
      </c>
      <c r="BB26" s="86"/>
      <c r="BC26" s="84"/>
      <c r="BD26" s="93" t="s">
        <v>122</v>
      </c>
      <c r="BE26" s="84" t="s">
        <v>1602</v>
      </c>
      <c r="BF26" s="109" t="s">
        <v>110</v>
      </c>
      <c r="BG26" s="110" t="s">
        <v>21</v>
      </c>
      <c r="BH26" s="84" t="s">
        <v>22</v>
      </c>
      <c r="BI26" s="84" t="s">
        <v>380</v>
      </c>
      <c r="BJ26" s="89">
        <f t="shared" si="22"/>
        <v>2.0833333333333335</v>
      </c>
      <c r="BK26" s="84">
        <v>25</v>
      </c>
      <c r="BL26" s="84">
        <v>25</v>
      </c>
      <c r="BM26" s="88">
        <v>2.0833333333333335</v>
      </c>
      <c r="BN26" s="84" t="s">
        <v>389</v>
      </c>
      <c r="BO26" s="84" t="s">
        <v>342</v>
      </c>
      <c r="BP26" s="84" t="s">
        <v>64</v>
      </c>
      <c r="BQ26" s="84"/>
      <c r="BR26" s="81" t="s">
        <v>1778</v>
      </c>
      <c r="BS26" s="81" t="s">
        <v>388</v>
      </c>
      <c r="BT26" s="84"/>
      <c r="BU26" s="90"/>
      <c r="BV26" s="90"/>
      <c r="BW26" s="90"/>
      <c r="BX26" s="86"/>
      <c r="BY26" s="86"/>
      <c r="BZ26" s="84"/>
      <c r="CA26" s="84"/>
      <c r="CB26" s="84"/>
      <c r="CC26" s="90"/>
      <c r="CD26" s="90"/>
      <c r="CE26" s="90"/>
      <c r="CF26" s="86"/>
      <c r="CG26" s="86"/>
      <c r="CH26" s="84"/>
      <c r="CI26" s="84"/>
      <c r="CJ26" s="84"/>
      <c r="CK26" s="86"/>
      <c r="CL26" s="86"/>
      <c r="CM26" s="86"/>
      <c r="CN26" s="86"/>
      <c r="CO26" s="86"/>
      <c r="CP26" s="84"/>
      <c r="CQ26" s="84"/>
      <c r="CR26" s="84" t="s">
        <v>572</v>
      </c>
      <c r="CS26" s="86">
        <v>9.1</v>
      </c>
      <c r="CT26" s="86"/>
      <c r="CU26" s="86">
        <v>2.907</v>
      </c>
      <c r="CV26" s="86">
        <v>4</v>
      </c>
      <c r="CW26" s="86">
        <v>4</v>
      </c>
      <c r="CX26" s="84" t="s">
        <v>1759</v>
      </c>
      <c r="CY26" s="84" t="s">
        <v>882</v>
      </c>
      <c r="CZ26" s="84" t="s">
        <v>80</v>
      </c>
      <c r="DA26" s="82">
        <v>9.5500000000000007</v>
      </c>
      <c r="DC26" s="82">
        <v>4.2190000000000003</v>
      </c>
      <c r="DD26" s="82">
        <v>6</v>
      </c>
      <c r="DE26" s="82">
        <v>6</v>
      </c>
      <c r="DF26" s="84" t="s">
        <v>1759</v>
      </c>
      <c r="DG26" s="84" t="s">
        <v>882</v>
      </c>
      <c r="DH26" s="84" t="s">
        <v>572</v>
      </c>
      <c r="DI26" s="82">
        <v>9.8999999999999986</v>
      </c>
      <c r="DK26" s="82">
        <v>3.8279999999999998</v>
      </c>
      <c r="DL26" s="82">
        <v>4</v>
      </c>
      <c r="DM26" s="82">
        <v>4</v>
      </c>
      <c r="DN26" s="82" t="s">
        <v>1760</v>
      </c>
      <c r="DO26" s="111" t="s">
        <v>884</v>
      </c>
      <c r="DP26" s="84" t="s">
        <v>80</v>
      </c>
      <c r="DQ26" s="82">
        <v>8.6000000000000014</v>
      </c>
      <c r="DS26" s="82">
        <v>3.6560000000000001</v>
      </c>
      <c r="DT26" s="82">
        <v>6</v>
      </c>
      <c r="DU26" s="82">
        <v>6</v>
      </c>
      <c r="DV26" s="84" t="s">
        <v>1760</v>
      </c>
      <c r="DW26" s="111" t="s">
        <v>884</v>
      </c>
      <c r="DX26" s="84" t="s">
        <v>1747</v>
      </c>
      <c r="DY26" s="86">
        <f>DI26-CS26</f>
        <v>0.79999999999999893</v>
      </c>
      <c r="DZ26" s="86"/>
      <c r="EA26" s="86">
        <f>SQRT((CU26^2)+(DK26^2))</f>
        <v>4.806686280588738</v>
      </c>
      <c r="EB26" s="86">
        <v>4</v>
      </c>
      <c r="EC26" s="86">
        <v>4</v>
      </c>
      <c r="ED26" s="84" t="s">
        <v>1743</v>
      </c>
      <c r="EE26" s="84" t="s">
        <v>1744</v>
      </c>
      <c r="EF26" s="84" t="s">
        <v>1746</v>
      </c>
      <c r="EG26" s="86">
        <f>DQ26-DA26</f>
        <v>-0.94999999999999929</v>
      </c>
      <c r="EH26" s="86"/>
      <c r="EI26" s="86">
        <f>SQRT((DS26^2)+(DC26^2))</f>
        <v>5.5826782998843845</v>
      </c>
      <c r="EJ26" s="86">
        <v>6</v>
      </c>
      <c r="EK26" s="86">
        <v>6</v>
      </c>
      <c r="EL26" s="84" t="s">
        <v>1743</v>
      </c>
      <c r="EM26" s="84" t="s">
        <v>1745</v>
      </c>
      <c r="EN26" s="86">
        <f t="shared" si="23"/>
        <v>0.79999999999999893</v>
      </c>
      <c r="EO26" s="86">
        <f t="shared" si="24"/>
        <v>4.806686280588738</v>
      </c>
      <c r="EP26" s="86">
        <f t="shared" si="25"/>
        <v>4</v>
      </c>
      <c r="EQ26" s="86">
        <f t="shared" si="26"/>
        <v>4</v>
      </c>
      <c r="ER26" s="86">
        <f t="shared" si="27"/>
        <v>-0.94999999999999929</v>
      </c>
      <c r="ES26" s="86">
        <f t="shared" si="28"/>
        <v>5.5826782998843845</v>
      </c>
      <c r="ET26" s="86">
        <f t="shared" si="29"/>
        <v>6</v>
      </c>
      <c r="EU26" s="86">
        <f t="shared" si="30"/>
        <v>6</v>
      </c>
      <c r="EV26" s="86">
        <f t="shared" si="3"/>
        <v>5.3049998114985826</v>
      </c>
      <c r="EW26" s="86">
        <f t="shared" si="4"/>
        <v>0.32987748580252063</v>
      </c>
      <c r="EX26" s="86">
        <f t="shared" si="5"/>
        <v>0.42210762444863631</v>
      </c>
      <c r="EY26" s="86">
        <f t="shared" si="6"/>
        <v>0.90322580645161288</v>
      </c>
      <c r="EZ26" s="83">
        <f t="shared" si="7"/>
        <v>0.29795385814421216</v>
      </c>
      <c r="FA26" s="83">
        <f t="shared" si="8"/>
        <v>0.34436251567922044</v>
      </c>
      <c r="FB26" s="83">
        <f t="shared" si="9"/>
        <v>10</v>
      </c>
      <c r="FC26" s="84" t="s">
        <v>385</v>
      </c>
    </row>
    <row r="27" spans="1:159" s="82" customFormat="1" ht="17.100000000000001" customHeight="1">
      <c r="A27" s="78" t="s">
        <v>1844</v>
      </c>
      <c r="B27" s="96" t="s">
        <v>1420</v>
      </c>
      <c r="C27" s="80" t="str">
        <f t="shared" si="10"/>
        <v>Dodson, E. K., Peterson, D. W., &amp; Harrod, R. J.  2008.  Understory vegetation response to thinning and burning restoration treatments in dry conifer forests of the eastern Cascades, USA. Forest Ecology and Management. 255: 3130-3140.</v>
      </c>
      <c r="D27" s="91" t="s">
        <v>1511</v>
      </c>
      <c r="E27" s="91">
        <v>2008</v>
      </c>
      <c r="F27" s="96" t="s">
        <v>1046</v>
      </c>
      <c r="G27" s="96" t="s">
        <v>20</v>
      </c>
      <c r="H27" s="91">
        <v>255</v>
      </c>
      <c r="I27" s="92" t="s">
        <v>1047</v>
      </c>
      <c r="J27" s="79" t="s">
        <v>1453</v>
      </c>
      <c r="K27" s="96" t="s">
        <v>1048</v>
      </c>
      <c r="L27" s="82" t="s">
        <v>18</v>
      </c>
      <c r="M27" s="95" t="s">
        <v>73</v>
      </c>
      <c r="N27" s="82" t="s">
        <v>389</v>
      </c>
      <c r="P27" s="91" t="s">
        <v>16</v>
      </c>
      <c r="Q27" s="96" t="s">
        <v>864</v>
      </c>
      <c r="R27" s="96" t="s">
        <v>1049</v>
      </c>
      <c r="S27" s="96" t="s">
        <v>1565</v>
      </c>
      <c r="T27" s="96" t="s">
        <v>1050</v>
      </c>
      <c r="U27" s="96" t="s">
        <v>1051</v>
      </c>
      <c r="V27" s="91">
        <v>47.42</v>
      </c>
      <c r="W27" s="91">
        <v>-120.53</v>
      </c>
      <c r="X27" s="91" t="s">
        <v>1052</v>
      </c>
      <c r="Y27" s="104" t="s">
        <v>1988</v>
      </c>
      <c r="Z27" s="66" t="s">
        <v>2204</v>
      </c>
      <c r="AA27" s="97" t="s">
        <v>49</v>
      </c>
      <c r="AB27" s="79" t="s">
        <v>64</v>
      </c>
      <c r="AC27" s="82" t="s">
        <v>235</v>
      </c>
      <c r="AF27" s="82" t="s">
        <v>86</v>
      </c>
      <c r="AG27" s="82" t="s">
        <v>92</v>
      </c>
      <c r="AH27" s="82" t="s">
        <v>106</v>
      </c>
      <c r="AI27" s="82" t="s">
        <v>93</v>
      </c>
      <c r="AJ27" s="86">
        <v>2</v>
      </c>
      <c r="AK27" s="86">
        <v>1</v>
      </c>
      <c r="AL27" s="86">
        <v>1</v>
      </c>
      <c r="AM27" s="84" t="s">
        <v>717</v>
      </c>
      <c r="AN27" s="84" t="s">
        <v>1053</v>
      </c>
      <c r="AO27" s="84" t="s">
        <v>526</v>
      </c>
      <c r="AP27" s="68" t="s">
        <v>2227</v>
      </c>
      <c r="AQ27" s="82" t="s">
        <v>94</v>
      </c>
      <c r="AR27" s="86">
        <v>6</v>
      </c>
      <c r="AS27" s="86">
        <v>20</v>
      </c>
      <c r="AT27" s="86"/>
      <c r="AU27" s="87"/>
      <c r="AV27" s="88">
        <v>0.8</v>
      </c>
      <c r="AX27" s="82" t="s">
        <v>80</v>
      </c>
      <c r="AY27" s="86">
        <v>4</v>
      </c>
      <c r="AZ27" s="86">
        <v>6</v>
      </c>
      <c r="BA27" s="86">
        <v>20</v>
      </c>
      <c r="BB27" s="86"/>
      <c r="BD27" s="83" t="s">
        <v>391</v>
      </c>
      <c r="BE27" s="82" t="s">
        <v>182</v>
      </c>
      <c r="BF27" s="83" t="s">
        <v>110</v>
      </c>
      <c r="BG27" s="82" t="s">
        <v>21</v>
      </c>
      <c r="BH27" s="82" t="s">
        <v>81</v>
      </c>
      <c r="BI27" s="84" t="s">
        <v>365</v>
      </c>
      <c r="BJ27" s="89">
        <f t="shared" si="22"/>
        <v>1.25</v>
      </c>
      <c r="BK27" s="84">
        <v>15</v>
      </c>
      <c r="BL27" s="84">
        <v>15</v>
      </c>
      <c r="BM27" s="88">
        <v>1.25</v>
      </c>
      <c r="BN27" s="82" t="s">
        <v>379</v>
      </c>
      <c r="BO27" s="82" t="s">
        <v>1054</v>
      </c>
      <c r="BP27" s="82" t="s">
        <v>64</v>
      </c>
      <c r="BR27" s="82" t="s">
        <v>1055</v>
      </c>
      <c r="BS27" s="82" t="s">
        <v>2152</v>
      </c>
      <c r="BU27" s="86"/>
      <c r="BV27" s="86"/>
      <c r="BW27" s="90"/>
      <c r="BX27" s="86"/>
      <c r="BY27" s="86"/>
      <c r="CC27" s="86"/>
      <c r="CD27" s="86"/>
      <c r="CE27" s="90"/>
      <c r="CF27" s="86"/>
      <c r="CG27" s="86"/>
      <c r="CK27" s="86"/>
      <c r="CL27" s="86"/>
      <c r="CM27" s="86"/>
      <c r="CN27" s="86"/>
      <c r="CO27" s="86"/>
      <c r="CS27" s="86"/>
      <c r="CT27" s="86"/>
      <c r="CU27" s="86"/>
      <c r="CV27" s="86"/>
      <c r="CW27" s="86"/>
      <c r="DX27" s="82" t="s">
        <v>572</v>
      </c>
      <c r="DY27" s="86">
        <v>2.42</v>
      </c>
      <c r="DZ27" s="86">
        <v>1.42</v>
      </c>
      <c r="EA27" s="86">
        <v>2.0081832585697952</v>
      </c>
      <c r="EB27" s="86">
        <v>2</v>
      </c>
      <c r="EC27" s="86">
        <v>2</v>
      </c>
      <c r="ED27" s="82" t="s">
        <v>40</v>
      </c>
      <c r="EE27" s="82" t="s">
        <v>1281</v>
      </c>
      <c r="EF27" s="82" t="s">
        <v>80</v>
      </c>
      <c r="EG27" s="86">
        <v>3.34</v>
      </c>
      <c r="EH27" s="86">
        <v>0.99</v>
      </c>
      <c r="EI27" s="67">
        <v>1.98</v>
      </c>
      <c r="EJ27" s="86">
        <v>4</v>
      </c>
      <c r="EK27" s="86">
        <v>4</v>
      </c>
      <c r="EL27" s="82" t="s">
        <v>40</v>
      </c>
      <c r="EM27" s="82" t="s">
        <v>1282</v>
      </c>
      <c r="EN27" s="86">
        <f t="shared" si="23"/>
        <v>2.42</v>
      </c>
      <c r="EO27" s="86">
        <f t="shared" si="24"/>
        <v>2.0081832585697952</v>
      </c>
      <c r="EP27" s="86">
        <f t="shared" si="25"/>
        <v>2</v>
      </c>
      <c r="EQ27" s="86">
        <f t="shared" si="26"/>
        <v>2</v>
      </c>
      <c r="ER27" s="86">
        <f t="shared" si="27"/>
        <v>3.34</v>
      </c>
      <c r="ES27" s="86">
        <f t="shared" si="28"/>
        <v>1.98</v>
      </c>
      <c r="ET27" s="86">
        <f t="shared" si="29"/>
        <v>4</v>
      </c>
      <c r="EU27" s="86">
        <f t="shared" si="30"/>
        <v>4</v>
      </c>
      <c r="EV27" s="86">
        <f t="shared" si="3"/>
        <v>1.9870832896484234</v>
      </c>
      <c r="EW27" s="86">
        <f t="shared" si="4"/>
        <v>-0.46299015486299844</v>
      </c>
      <c r="EX27" s="86">
        <f t="shared" si="5"/>
        <v>0.76786332362500531</v>
      </c>
      <c r="EY27" s="86">
        <f t="shared" si="6"/>
        <v>0.8</v>
      </c>
      <c r="EZ27" s="83">
        <f t="shared" si="7"/>
        <v>-0.37039212389039877</v>
      </c>
      <c r="FA27" s="83">
        <f t="shared" si="8"/>
        <v>0.49143252712000352</v>
      </c>
      <c r="FB27" s="83">
        <f t="shared" si="9"/>
        <v>6</v>
      </c>
      <c r="FC27" s="82" t="s">
        <v>385</v>
      </c>
    </row>
    <row r="28" spans="1:159" s="82" customFormat="1" ht="17.100000000000001" customHeight="1">
      <c r="A28" s="78" t="s">
        <v>1844</v>
      </c>
      <c r="B28" s="96" t="s">
        <v>1420</v>
      </c>
      <c r="C28" s="80" t="str">
        <f t="shared" si="10"/>
        <v>Dodson, E. K., Peterson, D. W., &amp; Harrod, R. J.  2008.  Understory vegetation response to thinning and burning restoration treatments in dry conifer forests of the eastern Cascades, USA. Forest Ecology and Management. 255: 3130-3140.</v>
      </c>
      <c r="D28" s="91" t="s">
        <v>1511</v>
      </c>
      <c r="E28" s="91">
        <v>2008</v>
      </c>
      <c r="F28" s="96" t="s">
        <v>1046</v>
      </c>
      <c r="G28" s="96" t="s">
        <v>20</v>
      </c>
      <c r="H28" s="91">
        <v>255</v>
      </c>
      <c r="I28" s="92" t="s">
        <v>1047</v>
      </c>
      <c r="J28" s="79" t="s">
        <v>1453</v>
      </c>
      <c r="K28" s="96" t="s">
        <v>1048</v>
      </c>
      <c r="L28" s="82" t="s">
        <v>18</v>
      </c>
      <c r="M28" s="83" t="s">
        <v>73</v>
      </c>
      <c r="N28" s="82" t="s">
        <v>389</v>
      </c>
      <c r="P28" s="91" t="s">
        <v>16</v>
      </c>
      <c r="Q28" s="96" t="s">
        <v>864</v>
      </c>
      <c r="R28" s="96" t="s">
        <v>1049</v>
      </c>
      <c r="S28" s="96" t="s">
        <v>1565</v>
      </c>
      <c r="T28" s="96" t="s">
        <v>1050</v>
      </c>
      <c r="U28" s="96" t="s">
        <v>1051</v>
      </c>
      <c r="V28" s="91">
        <v>47.42</v>
      </c>
      <c r="W28" s="91">
        <v>-120.53</v>
      </c>
      <c r="X28" s="91" t="s">
        <v>1052</v>
      </c>
      <c r="Y28" s="104" t="s">
        <v>1988</v>
      </c>
      <c r="Z28" s="66" t="s">
        <v>2204</v>
      </c>
      <c r="AA28" s="97" t="s">
        <v>49</v>
      </c>
      <c r="AB28" s="79" t="s">
        <v>64</v>
      </c>
      <c r="AC28" s="82" t="s">
        <v>235</v>
      </c>
      <c r="AF28" s="82" t="s">
        <v>86</v>
      </c>
      <c r="AG28" s="82" t="s">
        <v>92</v>
      </c>
      <c r="AH28" s="82" t="s">
        <v>106</v>
      </c>
      <c r="AI28" s="82" t="s">
        <v>93</v>
      </c>
      <c r="AJ28" s="86">
        <v>2</v>
      </c>
      <c r="AK28" s="86">
        <v>1</v>
      </c>
      <c r="AL28" s="86">
        <v>1</v>
      </c>
      <c r="AM28" s="84" t="s">
        <v>717</v>
      </c>
      <c r="AN28" s="84" t="s">
        <v>1053</v>
      </c>
      <c r="AO28" s="84" t="s">
        <v>526</v>
      </c>
      <c r="AP28" s="68" t="s">
        <v>2227</v>
      </c>
      <c r="AQ28" s="82" t="s">
        <v>94</v>
      </c>
      <c r="AR28" s="86">
        <v>6</v>
      </c>
      <c r="AS28" s="86">
        <v>10</v>
      </c>
      <c r="AT28" s="86"/>
      <c r="AU28" s="87"/>
      <c r="AV28" s="88">
        <v>0.8</v>
      </c>
      <c r="AX28" s="82" t="s">
        <v>80</v>
      </c>
      <c r="AY28" s="86">
        <v>4</v>
      </c>
      <c r="AZ28" s="86">
        <v>6</v>
      </c>
      <c r="BA28" s="86">
        <v>10</v>
      </c>
      <c r="BB28" s="86"/>
      <c r="BD28" s="83" t="s">
        <v>391</v>
      </c>
      <c r="BE28" s="82" t="s">
        <v>182</v>
      </c>
      <c r="BF28" s="83" t="s">
        <v>387</v>
      </c>
      <c r="BG28" s="82" t="s">
        <v>21</v>
      </c>
      <c r="BH28" s="82" t="s">
        <v>81</v>
      </c>
      <c r="BI28" s="84" t="s">
        <v>365</v>
      </c>
      <c r="BJ28" s="89">
        <f t="shared" si="22"/>
        <v>1.25</v>
      </c>
      <c r="BK28" s="84">
        <v>15</v>
      </c>
      <c r="BL28" s="84">
        <v>15</v>
      </c>
      <c r="BM28" s="88">
        <v>1.25</v>
      </c>
      <c r="BN28" s="82" t="s">
        <v>379</v>
      </c>
      <c r="BO28" s="82" t="s">
        <v>1054</v>
      </c>
      <c r="BP28" s="82" t="s">
        <v>64</v>
      </c>
      <c r="BR28" s="82" t="s">
        <v>1056</v>
      </c>
      <c r="BS28" s="82" t="s">
        <v>679</v>
      </c>
      <c r="BT28" s="63"/>
      <c r="BU28" s="67"/>
      <c r="BV28" s="67"/>
      <c r="BW28" s="69"/>
      <c r="BX28" s="86"/>
      <c r="BY28" s="86"/>
      <c r="CB28" s="63"/>
      <c r="CC28" s="67"/>
      <c r="CD28" s="67"/>
      <c r="CE28" s="69"/>
      <c r="CF28" s="86"/>
      <c r="CG28" s="86"/>
      <c r="CJ28" s="63"/>
      <c r="CK28" s="67"/>
      <c r="CL28" s="67"/>
      <c r="CM28" s="67"/>
      <c r="CN28" s="67"/>
      <c r="CO28" s="67"/>
      <c r="CP28" s="63"/>
      <c r="CQ28" s="63"/>
      <c r="CR28" s="63"/>
      <c r="CS28" s="67"/>
      <c r="CT28" s="67"/>
      <c r="CU28" s="67"/>
      <c r="CV28" s="67"/>
      <c r="CW28" s="67"/>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t="s">
        <v>572</v>
      </c>
      <c r="DY28" s="67">
        <v>-0.53</v>
      </c>
      <c r="DZ28" s="67">
        <v>0.38</v>
      </c>
      <c r="EA28" s="67">
        <v>0.53740115370177621</v>
      </c>
      <c r="EB28" s="67">
        <v>2</v>
      </c>
      <c r="EC28" s="67">
        <v>2</v>
      </c>
      <c r="ED28" s="82" t="s">
        <v>40</v>
      </c>
      <c r="EE28" s="82" t="s">
        <v>1281</v>
      </c>
      <c r="EF28" s="82" t="s">
        <v>80</v>
      </c>
      <c r="EG28" s="67">
        <v>-0.21</v>
      </c>
      <c r="EH28" s="67">
        <v>0.26</v>
      </c>
      <c r="EI28" s="67">
        <v>0.52</v>
      </c>
      <c r="EJ28" s="86">
        <v>4</v>
      </c>
      <c r="EK28" s="86">
        <v>4</v>
      </c>
      <c r="EL28" s="82" t="s">
        <v>40</v>
      </c>
      <c r="EM28" s="82" t="s">
        <v>1282</v>
      </c>
      <c r="EN28" s="86">
        <f t="shared" si="23"/>
        <v>-0.53</v>
      </c>
      <c r="EO28" s="86">
        <f t="shared" si="24"/>
        <v>0.53740115370177621</v>
      </c>
      <c r="EP28" s="86">
        <f t="shared" si="25"/>
        <v>2</v>
      </c>
      <c r="EQ28" s="86">
        <f t="shared" si="26"/>
        <v>2</v>
      </c>
      <c r="ER28" s="86">
        <f t="shared" si="27"/>
        <v>-0.21</v>
      </c>
      <c r="ES28" s="86">
        <f t="shared" si="28"/>
        <v>0.52</v>
      </c>
      <c r="ET28" s="86">
        <f t="shared" si="29"/>
        <v>4</v>
      </c>
      <c r="EU28" s="86">
        <f t="shared" si="30"/>
        <v>4</v>
      </c>
      <c r="EV28" s="86">
        <f t="shared" si="3"/>
        <v>0.52440442408507582</v>
      </c>
      <c r="EW28" s="86">
        <f t="shared" si="4"/>
        <v>-0.61021605711717919</v>
      </c>
      <c r="EX28" s="86">
        <f t="shared" si="5"/>
        <v>0.78103030303030307</v>
      </c>
      <c r="EY28" s="86">
        <f t="shared" si="6"/>
        <v>0.8</v>
      </c>
      <c r="EZ28" s="83">
        <f t="shared" si="7"/>
        <v>-0.48817284569374336</v>
      </c>
      <c r="FA28" s="83">
        <f t="shared" si="8"/>
        <v>0.49985939393939405</v>
      </c>
      <c r="FB28" s="83">
        <f t="shared" si="9"/>
        <v>6</v>
      </c>
      <c r="FC28" s="82" t="s">
        <v>385</v>
      </c>
    </row>
    <row r="29" spans="1:159" s="82" customFormat="1" ht="17.100000000000001" customHeight="1">
      <c r="A29" s="78" t="s">
        <v>1844</v>
      </c>
      <c r="B29" s="96" t="s">
        <v>1420</v>
      </c>
      <c r="C29" s="80" t="str">
        <f t="shared" si="10"/>
        <v>Dodson, E. K., Peterson, D. W., &amp; Harrod, R. J.  2008.  Understory vegetation response to thinning and burning restoration treatments in dry conifer forests of the eastern Cascades, USA. Forest Ecology and Management. 255: 3130-3140.</v>
      </c>
      <c r="D29" s="91" t="s">
        <v>1511</v>
      </c>
      <c r="E29" s="91">
        <v>2008</v>
      </c>
      <c r="F29" s="96" t="s">
        <v>1046</v>
      </c>
      <c r="G29" s="96" t="s">
        <v>20</v>
      </c>
      <c r="H29" s="91">
        <v>255</v>
      </c>
      <c r="I29" s="92" t="s">
        <v>1047</v>
      </c>
      <c r="J29" s="79" t="s">
        <v>1453</v>
      </c>
      <c r="K29" s="96" t="s">
        <v>1048</v>
      </c>
      <c r="L29" s="82" t="s">
        <v>18</v>
      </c>
      <c r="M29" s="83" t="s">
        <v>73</v>
      </c>
      <c r="N29" s="82" t="s">
        <v>389</v>
      </c>
      <c r="P29" s="91" t="s">
        <v>16</v>
      </c>
      <c r="Q29" s="96" t="s">
        <v>864</v>
      </c>
      <c r="R29" s="96" t="s">
        <v>1049</v>
      </c>
      <c r="S29" s="96" t="s">
        <v>1565</v>
      </c>
      <c r="T29" s="96" t="s">
        <v>1050</v>
      </c>
      <c r="U29" s="96" t="s">
        <v>1051</v>
      </c>
      <c r="V29" s="91">
        <v>47.42</v>
      </c>
      <c r="W29" s="91">
        <v>-120.53</v>
      </c>
      <c r="X29" s="91" t="s">
        <v>1052</v>
      </c>
      <c r="Y29" s="104" t="s">
        <v>1988</v>
      </c>
      <c r="Z29" s="66" t="s">
        <v>2204</v>
      </c>
      <c r="AA29" s="97" t="s">
        <v>49</v>
      </c>
      <c r="AB29" s="79" t="s">
        <v>64</v>
      </c>
      <c r="AC29" s="82" t="s">
        <v>235</v>
      </c>
      <c r="AF29" s="82" t="s">
        <v>86</v>
      </c>
      <c r="AG29" s="82" t="s">
        <v>92</v>
      </c>
      <c r="AH29" s="82" t="s">
        <v>106</v>
      </c>
      <c r="AI29" s="82" t="s">
        <v>93</v>
      </c>
      <c r="AJ29" s="86">
        <v>2</v>
      </c>
      <c r="AK29" s="86">
        <v>1</v>
      </c>
      <c r="AL29" s="86">
        <v>1</v>
      </c>
      <c r="AM29" s="84" t="s">
        <v>717</v>
      </c>
      <c r="AN29" s="84" t="s">
        <v>1053</v>
      </c>
      <c r="AO29" s="84" t="s">
        <v>526</v>
      </c>
      <c r="AP29" s="68" t="s">
        <v>2227</v>
      </c>
      <c r="AQ29" s="82" t="s">
        <v>94</v>
      </c>
      <c r="AR29" s="86">
        <v>6</v>
      </c>
      <c r="AS29" s="86">
        <v>20</v>
      </c>
      <c r="AT29" s="86"/>
      <c r="AU29" s="87"/>
      <c r="AV29" s="88">
        <v>0.8</v>
      </c>
      <c r="AX29" s="82" t="s">
        <v>80</v>
      </c>
      <c r="AY29" s="86">
        <v>4</v>
      </c>
      <c r="AZ29" s="86">
        <v>6</v>
      </c>
      <c r="BA29" s="86">
        <v>20</v>
      </c>
      <c r="BB29" s="86"/>
      <c r="BD29" s="83" t="s">
        <v>391</v>
      </c>
      <c r="BE29" s="82" t="s">
        <v>182</v>
      </c>
      <c r="BF29" s="83" t="s">
        <v>386</v>
      </c>
      <c r="BG29" s="82" t="s">
        <v>21</v>
      </c>
      <c r="BH29" s="82" t="s">
        <v>81</v>
      </c>
      <c r="BI29" s="84" t="s">
        <v>365</v>
      </c>
      <c r="BJ29" s="89">
        <f t="shared" si="22"/>
        <v>1.25</v>
      </c>
      <c r="BK29" s="84">
        <v>15</v>
      </c>
      <c r="BL29" s="84">
        <v>15</v>
      </c>
      <c r="BM29" s="88">
        <v>1.25</v>
      </c>
      <c r="BN29" s="82" t="s">
        <v>379</v>
      </c>
      <c r="BO29" s="82" t="s">
        <v>1054</v>
      </c>
      <c r="BP29" s="82" t="s">
        <v>64</v>
      </c>
      <c r="BR29" s="82" t="s">
        <v>1769</v>
      </c>
      <c r="BS29" s="82" t="s">
        <v>2150</v>
      </c>
      <c r="BT29" s="63"/>
      <c r="BU29" s="67"/>
      <c r="BV29" s="67"/>
      <c r="BW29" s="69"/>
      <c r="BX29" s="86"/>
      <c r="BY29" s="86"/>
      <c r="CB29" s="63"/>
      <c r="CC29" s="67"/>
      <c r="CD29" s="67"/>
      <c r="CE29" s="69"/>
      <c r="CF29" s="86"/>
      <c r="CG29" s="86"/>
      <c r="CJ29" s="63"/>
      <c r="CK29" s="67"/>
      <c r="CL29" s="67"/>
      <c r="CM29" s="67"/>
      <c r="CN29" s="67"/>
      <c r="CO29" s="67"/>
      <c r="CP29" s="63"/>
      <c r="CQ29" s="63"/>
      <c r="CR29" s="63"/>
      <c r="CS29" s="67"/>
      <c r="CT29" s="67"/>
      <c r="CU29" s="67"/>
      <c r="CV29" s="67"/>
      <c r="CW29" s="67"/>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t="s">
        <v>572</v>
      </c>
      <c r="DY29" s="67">
        <v>3.02</v>
      </c>
      <c r="DZ29" s="67"/>
      <c r="EA29" s="67">
        <v>1.6287418457201868</v>
      </c>
      <c r="EB29" s="86">
        <v>2</v>
      </c>
      <c r="EC29" s="86">
        <v>2</v>
      </c>
      <c r="ED29" s="82" t="s">
        <v>1759</v>
      </c>
      <c r="EE29" s="82" t="s">
        <v>1281</v>
      </c>
      <c r="EF29" s="82" t="s">
        <v>80</v>
      </c>
      <c r="EG29" s="67">
        <v>3.6399999999999997</v>
      </c>
      <c r="EH29" s="67"/>
      <c r="EI29" s="67">
        <v>1.7519132398609241</v>
      </c>
      <c r="EJ29" s="86">
        <v>4</v>
      </c>
      <c r="EK29" s="86">
        <v>4</v>
      </c>
      <c r="EL29" s="82" t="s">
        <v>1759</v>
      </c>
      <c r="EM29" s="82" t="s">
        <v>1282</v>
      </c>
      <c r="EN29" s="86">
        <f t="shared" si="23"/>
        <v>3.02</v>
      </c>
      <c r="EO29" s="86">
        <f t="shared" si="24"/>
        <v>1.6287418457201868</v>
      </c>
      <c r="EP29" s="86">
        <f t="shared" si="25"/>
        <v>2</v>
      </c>
      <c r="EQ29" s="86">
        <f t="shared" si="26"/>
        <v>2</v>
      </c>
      <c r="ER29" s="86">
        <f t="shared" si="27"/>
        <v>3.6399999999999997</v>
      </c>
      <c r="ES29" s="86">
        <f t="shared" si="28"/>
        <v>1.7519132398609241</v>
      </c>
      <c r="ET29" s="86">
        <f t="shared" si="29"/>
        <v>4</v>
      </c>
      <c r="EU29" s="86">
        <f t="shared" si="30"/>
        <v>4</v>
      </c>
      <c r="EV29" s="86">
        <f t="shared" si="3"/>
        <v>1.7219465729226329</v>
      </c>
      <c r="EW29" s="86">
        <f t="shared" si="4"/>
        <v>-0.36005762881927483</v>
      </c>
      <c r="EX29" s="86">
        <f t="shared" si="5"/>
        <v>0.7608034580059132</v>
      </c>
      <c r="EY29" s="86">
        <f t="shared" si="6"/>
        <v>0.8</v>
      </c>
      <c r="EZ29" s="83">
        <f t="shared" si="7"/>
        <v>-0.28804610305541989</v>
      </c>
      <c r="FA29" s="83">
        <f t="shared" si="8"/>
        <v>0.48691421312378452</v>
      </c>
      <c r="FB29" s="83">
        <f t="shared" si="9"/>
        <v>6</v>
      </c>
      <c r="FC29" s="82" t="s">
        <v>385</v>
      </c>
    </row>
    <row r="30" spans="1:159" s="82" customFormat="1" ht="17.100000000000001" customHeight="1">
      <c r="A30" s="78" t="s">
        <v>1844</v>
      </c>
      <c r="B30" s="96" t="s">
        <v>1420</v>
      </c>
      <c r="C30" s="80" t="str">
        <f t="shared" si="10"/>
        <v>Dodson, E. K., Peterson, D. W., &amp; Harrod, R. J.  2008.  Understory vegetation response to thinning and burning restoration treatments in dry conifer forests of the eastern Cascades, USA. Forest Ecology and Management. 255: 3130-3140.</v>
      </c>
      <c r="D30" s="91" t="s">
        <v>1511</v>
      </c>
      <c r="E30" s="91">
        <v>2008</v>
      </c>
      <c r="F30" s="96" t="s">
        <v>1046</v>
      </c>
      <c r="G30" s="96" t="s">
        <v>20</v>
      </c>
      <c r="H30" s="91">
        <v>255</v>
      </c>
      <c r="I30" s="92" t="s">
        <v>1047</v>
      </c>
      <c r="J30" s="79" t="s">
        <v>1453</v>
      </c>
      <c r="K30" s="96" t="s">
        <v>1048</v>
      </c>
      <c r="L30" s="82" t="s">
        <v>18</v>
      </c>
      <c r="M30" s="83" t="s">
        <v>73</v>
      </c>
      <c r="N30" s="82" t="s">
        <v>389</v>
      </c>
      <c r="P30" s="96" t="s">
        <v>16</v>
      </c>
      <c r="Q30" s="96" t="s">
        <v>864</v>
      </c>
      <c r="R30" s="96" t="s">
        <v>1049</v>
      </c>
      <c r="S30" s="96" t="s">
        <v>1565</v>
      </c>
      <c r="T30" s="96" t="s">
        <v>1050</v>
      </c>
      <c r="U30" s="96" t="s">
        <v>1051</v>
      </c>
      <c r="V30" s="91">
        <v>47.42</v>
      </c>
      <c r="W30" s="91">
        <v>-120.53</v>
      </c>
      <c r="X30" s="96" t="s">
        <v>1052</v>
      </c>
      <c r="Y30" s="104" t="s">
        <v>1988</v>
      </c>
      <c r="Z30" s="66" t="s">
        <v>2204</v>
      </c>
      <c r="AA30" s="97" t="s">
        <v>49</v>
      </c>
      <c r="AB30" s="79" t="s">
        <v>64</v>
      </c>
      <c r="AC30" s="82" t="s">
        <v>235</v>
      </c>
      <c r="AF30" s="82" t="s">
        <v>86</v>
      </c>
      <c r="AG30" s="82" t="s">
        <v>92</v>
      </c>
      <c r="AH30" s="82" t="s">
        <v>106</v>
      </c>
      <c r="AI30" s="82" t="s">
        <v>93</v>
      </c>
      <c r="AJ30" s="82">
        <v>2</v>
      </c>
      <c r="AK30" s="82">
        <v>1</v>
      </c>
      <c r="AL30" s="82">
        <v>1</v>
      </c>
      <c r="AM30" s="82" t="s">
        <v>717</v>
      </c>
      <c r="AN30" s="82" t="s">
        <v>1053</v>
      </c>
      <c r="AO30" s="84" t="s">
        <v>526</v>
      </c>
      <c r="AP30" s="68" t="s">
        <v>2227</v>
      </c>
      <c r="AQ30" s="82" t="s">
        <v>94</v>
      </c>
      <c r="AR30" s="82">
        <v>6</v>
      </c>
      <c r="AS30" s="82">
        <v>20</v>
      </c>
      <c r="AV30" s="88">
        <v>0.8</v>
      </c>
      <c r="AX30" s="82" t="s">
        <v>80</v>
      </c>
      <c r="AY30" s="82">
        <v>4</v>
      </c>
      <c r="AZ30" s="82">
        <v>6</v>
      </c>
      <c r="BA30" s="82">
        <v>20</v>
      </c>
      <c r="BD30" s="83" t="s">
        <v>391</v>
      </c>
      <c r="BE30" s="82" t="s">
        <v>182</v>
      </c>
      <c r="BF30" s="83" t="s">
        <v>2156</v>
      </c>
      <c r="BG30" s="82" t="s">
        <v>21</v>
      </c>
      <c r="BH30" s="82" t="s">
        <v>81</v>
      </c>
      <c r="BI30" s="82" t="s">
        <v>365</v>
      </c>
      <c r="BJ30" s="89">
        <f t="shared" si="22"/>
        <v>1.25</v>
      </c>
      <c r="BK30" s="84">
        <v>15</v>
      </c>
      <c r="BL30" s="84">
        <v>15</v>
      </c>
      <c r="BM30" s="88">
        <v>1.25</v>
      </c>
      <c r="BN30" s="82" t="s">
        <v>379</v>
      </c>
      <c r="BO30" s="82" t="s">
        <v>1054</v>
      </c>
      <c r="BP30" s="82" t="s">
        <v>64</v>
      </c>
      <c r="BR30" s="82" t="s">
        <v>1057</v>
      </c>
      <c r="BS30" s="82" t="s">
        <v>2151</v>
      </c>
      <c r="BT30" s="63"/>
      <c r="BU30" s="67"/>
      <c r="BV30" s="67"/>
      <c r="BW30" s="69"/>
      <c r="BX30" s="86"/>
      <c r="BY30" s="86"/>
      <c r="CB30" s="63"/>
      <c r="CC30" s="67"/>
      <c r="CD30" s="67"/>
      <c r="CE30" s="69"/>
      <c r="CF30" s="86"/>
      <c r="CG30" s="86"/>
      <c r="CJ30" s="63"/>
      <c r="CK30" s="67"/>
      <c r="CL30" s="67"/>
      <c r="CM30" s="67"/>
      <c r="CN30" s="67"/>
      <c r="CO30" s="67"/>
      <c r="CP30" s="63"/>
      <c r="CQ30" s="63"/>
      <c r="CR30" s="63"/>
      <c r="CS30" s="67"/>
      <c r="CT30" s="67"/>
      <c r="CU30" s="67"/>
      <c r="CV30" s="67"/>
      <c r="CW30" s="67"/>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t="s">
        <v>572</v>
      </c>
      <c r="DY30" s="67">
        <v>0.14000000000000001</v>
      </c>
      <c r="DZ30" s="67">
        <v>0.31</v>
      </c>
      <c r="EA30" s="67">
        <v>0.62</v>
      </c>
      <c r="EB30" s="86">
        <v>2</v>
      </c>
      <c r="EC30" s="67">
        <v>2</v>
      </c>
      <c r="ED30" s="82" t="s">
        <v>40</v>
      </c>
      <c r="EE30" s="82" t="s">
        <v>1281</v>
      </c>
      <c r="EF30" s="82" t="s">
        <v>80</v>
      </c>
      <c r="EG30" s="67">
        <v>0.04</v>
      </c>
      <c r="EH30" s="67">
        <v>0.22</v>
      </c>
      <c r="EI30" s="86">
        <v>0.44</v>
      </c>
      <c r="EJ30" s="86">
        <v>4</v>
      </c>
      <c r="EK30" s="86">
        <v>4</v>
      </c>
      <c r="EL30" s="82" t="s">
        <v>40</v>
      </c>
      <c r="EM30" s="82" t="s">
        <v>1282</v>
      </c>
      <c r="EN30" s="86">
        <f t="shared" si="23"/>
        <v>0.14000000000000001</v>
      </c>
      <c r="EO30" s="86">
        <f t="shared" si="24"/>
        <v>0.62</v>
      </c>
      <c r="EP30" s="86">
        <f t="shared" si="25"/>
        <v>2</v>
      </c>
      <c r="EQ30" s="86">
        <f t="shared" si="26"/>
        <v>2</v>
      </c>
      <c r="ER30" s="86">
        <f t="shared" si="27"/>
        <v>0.04</v>
      </c>
      <c r="ES30" s="86">
        <f t="shared" si="28"/>
        <v>0.44</v>
      </c>
      <c r="ET30" s="86">
        <f t="shared" si="29"/>
        <v>4</v>
      </c>
      <c r="EU30" s="86">
        <f t="shared" si="30"/>
        <v>4</v>
      </c>
      <c r="EV30" s="86">
        <f t="shared" si="3"/>
        <v>0.49122296363260542</v>
      </c>
      <c r="EW30" s="86">
        <f t="shared" si="4"/>
        <v>0.2035735448125178</v>
      </c>
      <c r="EX30" s="86">
        <f t="shared" si="5"/>
        <v>0.75345351567896113</v>
      </c>
      <c r="EY30" s="86">
        <f t="shared" si="6"/>
        <v>0.8</v>
      </c>
      <c r="EZ30" s="83">
        <f t="shared" si="7"/>
        <v>0.16285883585001426</v>
      </c>
      <c r="FA30" s="83">
        <f t="shared" si="8"/>
        <v>0.48221025003453521</v>
      </c>
      <c r="FB30" s="83">
        <f t="shared" si="9"/>
        <v>6</v>
      </c>
      <c r="FC30" s="82" t="s">
        <v>385</v>
      </c>
    </row>
    <row r="31" spans="1:159" s="82" customFormat="1" ht="17.100000000000001" customHeight="1">
      <c r="A31" s="78" t="s">
        <v>1806</v>
      </c>
      <c r="B31" s="91" t="s">
        <v>294</v>
      </c>
      <c r="C31" s="80" t="str">
        <f t="shared" si="10"/>
        <v>Ducherer, K., Bai, Y., Thompson, D., &amp; Broersma, K. ( 2009.  Dynamic responses of a British Columbian forest-grassland interface to prescribed burning. Western North American Naturalist. 69 (1): 75-87.</v>
      </c>
      <c r="D31" s="84" t="s">
        <v>1476</v>
      </c>
      <c r="E31" s="84">
        <v>2009</v>
      </c>
      <c r="F31" s="91" t="s">
        <v>1530</v>
      </c>
      <c r="G31" s="91" t="s">
        <v>1526</v>
      </c>
      <c r="H31" s="91" t="s">
        <v>908</v>
      </c>
      <c r="I31" s="91" t="s">
        <v>909</v>
      </c>
      <c r="J31" s="84"/>
      <c r="K31" s="92" t="s">
        <v>910</v>
      </c>
      <c r="L31" s="84" t="s">
        <v>18</v>
      </c>
      <c r="M31" s="93" t="s">
        <v>164</v>
      </c>
      <c r="N31" s="84" t="s">
        <v>389</v>
      </c>
      <c r="O31" s="84"/>
      <c r="P31" s="91" t="s">
        <v>154</v>
      </c>
      <c r="Q31" s="91" t="s">
        <v>911</v>
      </c>
      <c r="R31" s="91" t="s">
        <v>912</v>
      </c>
      <c r="S31" s="91"/>
      <c r="T31" s="91" t="s">
        <v>913</v>
      </c>
      <c r="U31" s="91" t="s">
        <v>914</v>
      </c>
      <c r="V31" s="91">
        <v>50.75</v>
      </c>
      <c r="W31" s="91">
        <v>-120.6</v>
      </c>
      <c r="X31" s="91" t="s">
        <v>915</v>
      </c>
      <c r="Y31" s="104" t="s">
        <v>1990</v>
      </c>
      <c r="Z31" s="66" t="s">
        <v>2205</v>
      </c>
      <c r="AA31" s="93" t="s">
        <v>49</v>
      </c>
      <c r="AB31" s="84" t="s">
        <v>237</v>
      </c>
      <c r="AC31" s="84" t="s">
        <v>235</v>
      </c>
      <c r="AD31" s="84"/>
      <c r="AE31" s="84"/>
      <c r="AF31" s="84" t="s">
        <v>87</v>
      </c>
      <c r="AG31" s="84" t="s">
        <v>92</v>
      </c>
      <c r="AH31" s="84" t="s">
        <v>106</v>
      </c>
      <c r="AI31" s="84" t="s">
        <v>93</v>
      </c>
      <c r="AJ31" s="86">
        <v>1</v>
      </c>
      <c r="AK31" s="86">
        <v>1</v>
      </c>
      <c r="AL31" s="86">
        <v>1</v>
      </c>
      <c r="AM31" s="84" t="s">
        <v>916</v>
      </c>
      <c r="AN31" s="84" t="s">
        <v>829</v>
      </c>
      <c r="AO31" s="84" t="s">
        <v>526</v>
      </c>
      <c r="AP31" s="68" t="s">
        <v>2227</v>
      </c>
      <c r="AQ31" s="84" t="s">
        <v>94</v>
      </c>
      <c r="AR31" s="86">
        <v>5</v>
      </c>
      <c r="AS31" s="87" t="s">
        <v>227</v>
      </c>
      <c r="AT31" s="86">
        <v>10</v>
      </c>
      <c r="AU31" s="90"/>
      <c r="AV31" s="88">
        <v>0.30769230769230771</v>
      </c>
      <c r="AW31" s="84"/>
      <c r="AX31" s="84" t="s">
        <v>80</v>
      </c>
      <c r="AY31" s="86">
        <v>1</v>
      </c>
      <c r="AZ31" s="86">
        <v>5</v>
      </c>
      <c r="BA31" s="87" t="s">
        <v>227</v>
      </c>
      <c r="BB31" s="86">
        <v>10</v>
      </c>
      <c r="BC31" s="84"/>
      <c r="BD31" s="93" t="s">
        <v>124</v>
      </c>
      <c r="BE31" s="84" t="s">
        <v>182</v>
      </c>
      <c r="BF31" s="93" t="s">
        <v>110</v>
      </c>
      <c r="BG31" s="84" t="s">
        <v>21</v>
      </c>
      <c r="BH31" s="84" t="s">
        <v>81</v>
      </c>
      <c r="BI31" s="84" t="s">
        <v>917</v>
      </c>
      <c r="BJ31" s="89">
        <f t="shared" si="22"/>
        <v>3.25</v>
      </c>
      <c r="BK31" s="84">
        <v>39</v>
      </c>
      <c r="BL31" s="84">
        <v>39</v>
      </c>
      <c r="BM31" s="88">
        <v>3.25</v>
      </c>
      <c r="BN31" s="84" t="s">
        <v>389</v>
      </c>
      <c r="BO31" s="84" t="s">
        <v>342</v>
      </c>
      <c r="BP31" s="84" t="s">
        <v>64</v>
      </c>
      <c r="BQ31" s="84"/>
      <c r="BR31" s="84" t="s">
        <v>1779</v>
      </c>
      <c r="BS31" s="84" t="s">
        <v>2138</v>
      </c>
      <c r="BT31" s="84"/>
      <c r="BU31" s="86"/>
      <c r="BV31" s="86"/>
      <c r="BW31" s="90"/>
      <c r="BX31" s="86"/>
      <c r="BY31" s="86"/>
      <c r="BZ31" s="84"/>
      <c r="CA31" s="84"/>
      <c r="CB31" s="84"/>
      <c r="CC31" s="86"/>
      <c r="CD31" s="86"/>
      <c r="CE31" s="90"/>
      <c r="CF31" s="86"/>
      <c r="CG31" s="86"/>
      <c r="CH31" s="84"/>
      <c r="CI31" s="84"/>
      <c r="CJ31" s="84"/>
      <c r="CK31" s="86"/>
      <c r="CL31" s="86"/>
      <c r="CM31" s="86"/>
      <c r="CN31" s="86"/>
      <c r="CO31" s="86"/>
      <c r="CP31" s="84"/>
      <c r="CQ31" s="84"/>
      <c r="CR31" s="84" t="s">
        <v>572</v>
      </c>
      <c r="CS31" s="86">
        <v>0.97</v>
      </c>
      <c r="CT31" s="86">
        <v>0.06</v>
      </c>
      <c r="CU31" s="86">
        <v>0.13416407864998739</v>
      </c>
      <c r="CV31" s="86">
        <v>5</v>
      </c>
      <c r="CW31" s="86">
        <v>5</v>
      </c>
      <c r="CX31" s="84" t="s">
        <v>159</v>
      </c>
      <c r="CY31" s="84" t="s">
        <v>1356</v>
      </c>
      <c r="CZ31" s="84" t="s">
        <v>80</v>
      </c>
      <c r="DA31" s="82">
        <v>1.25</v>
      </c>
      <c r="DB31" s="82">
        <v>0.28999999999999998</v>
      </c>
      <c r="DC31" s="82">
        <v>0.64845971347493903</v>
      </c>
      <c r="DD31" s="82">
        <v>5</v>
      </c>
      <c r="DE31" s="82">
        <v>5</v>
      </c>
      <c r="DF31" s="84" t="s">
        <v>159</v>
      </c>
      <c r="DG31" s="84" t="s">
        <v>1356</v>
      </c>
      <c r="DH31" s="84" t="s">
        <v>572</v>
      </c>
      <c r="DI31" s="82">
        <v>1.35</v>
      </c>
      <c r="DJ31" s="82">
        <v>0.13</v>
      </c>
      <c r="DK31" s="82">
        <v>0.29068883707497267</v>
      </c>
      <c r="DL31" s="82">
        <v>5</v>
      </c>
      <c r="DM31" s="82">
        <v>5</v>
      </c>
      <c r="DN31" s="82" t="s">
        <v>159</v>
      </c>
      <c r="DO31" s="84" t="s">
        <v>1356</v>
      </c>
      <c r="DP31" s="84" t="s">
        <v>80</v>
      </c>
      <c r="DQ31" s="82">
        <v>11</v>
      </c>
      <c r="DR31" s="82">
        <v>1.9</v>
      </c>
      <c r="DS31" s="82">
        <v>4.2485291572496005</v>
      </c>
      <c r="DT31" s="82">
        <v>5</v>
      </c>
      <c r="DU31" s="82">
        <v>5</v>
      </c>
      <c r="DV31" s="84" t="s">
        <v>159</v>
      </c>
      <c r="DW31" s="84" t="s">
        <v>1356</v>
      </c>
      <c r="DX31" s="84" t="s">
        <v>1747</v>
      </c>
      <c r="DY31" s="86">
        <f>DI31-CS31</f>
        <v>0.38000000000000012</v>
      </c>
      <c r="DZ31" s="86"/>
      <c r="EA31" s="86">
        <f>SQRT((CU31^2)+(DK31^2))</f>
        <v>0.32015621187164245</v>
      </c>
      <c r="EB31" s="86">
        <v>5</v>
      </c>
      <c r="EC31" s="86">
        <v>5</v>
      </c>
      <c r="ED31" s="84" t="s">
        <v>1743</v>
      </c>
      <c r="EE31" s="84" t="s">
        <v>1744</v>
      </c>
      <c r="EF31" s="84" t="s">
        <v>1746</v>
      </c>
      <c r="EG31" s="86">
        <f>DQ31-DA31</f>
        <v>9.75</v>
      </c>
      <c r="EH31" s="86"/>
      <c r="EI31" s="86">
        <f>SQRT((DS31^2)+(DC31^2))</f>
        <v>4.2977319599993669</v>
      </c>
      <c r="EJ31" s="86">
        <v>5</v>
      </c>
      <c r="EK31" s="86">
        <v>5</v>
      </c>
      <c r="EL31" s="84" t="s">
        <v>1743</v>
      </c>
      <c r="EM31" s="84" t="s">
        <v>1745</v>
      </c>
      <c r="EN31" s="86">
        <f t="shared" si="23"/>
        <v>0.38000000000000012</v>
      </c>
      <c r="EO31" s="86">
        <f t="shared" si="24"/>
        <v>0.32015621187164245</v>
      </c>
      <c r="EP31" s="86">
        <f t="shared" si="25"/>
        <v>5</v>
      </c>
      <c r="EQ31" s="86">
        <f t="shared" si="26"/>
        <v>5</v>
      </c>
      <c r="ER31" s="86">
        <f t="shared" si="27"/>
        <v>9.75</v>
      </c>
      <c r="ES31" s="86">
        <f t="shared" si="28"/>
        <v>4.2977319599993669</v>
      </c>
      <c r="ET31" s="86">
        <f t="shared" si="29"/>
        <v>5</v>
      </c>
      <c r="EU31" s="86">
        <f t="shared" si="30"/>
        <v>5</v>
      </c>
      <c r="EV31" s="86">
        <f t="shared" si="3"/>
        <v>3.0473759203616475</v>
      </c>
      <c r="EW31" s="86">
        <f t="shared" si="4"/>
        <v>-3.07477654377738</v>
      </c>
      <c r="EX31" s="86">
        <f t="shared" si="5"/>
        <v>0.87271253970817853</v>
      </c>
      <c r="EY31" s="86">
        <f t="shared" si="6"/>
        <v>0.90322580645161288</v>
      </c>
      <c r="EZ31" s="83">
        <f t="shared" si="7"/>
        <v>-2.777217523411827</v>
      </c>
      <c r="FA31" s="83">
        <f t="shared" si="8"/>
        <v>0.71197360159335266</v>
      </c>
      <c r="FB31" s="83">
        <f t="shared" si="9"/>
        <v>10</v>
      </c>
      <c r="FC31" s="84" t="s">
        <v>385</v>
      </c>
    </row>
    <row r="32" spans="1:159" s="82" customFormat="1" ht="17.100000000000001" customHeight="1">
      <c r="A32" s="78" t="s">
        <v>1806</v>
      </c>
      <c r="B32" s="91" t="s">
        <v>294</v>
      </c>
      <c r="C32" s="80" t="str">
        <f t="shared" si="10"/>
        <v>Ducherer, K., Bai, Y., Thompson, D., &amp; Broersma, K. ( 2009.  Dynamic responses of a British Columbian forest-grassland interface to prescribed burning. Western North American Naturalist. 69 (1): 75-87.</v>
      </c>
      <c r="D32" s="84" t="s">
        <v>1476</v>
      </c>
      <c r="E32" s="84">
        <v>2009</v>
      </c>
      <c r="F32" s="91" t="s">
        <v>1530</v>
      </c>
      <c r="G32" s="91" t="s">
        <v>1526</v>
      </c>
      <c r="H32" s="91" t="s">
        <v>908</v>
      </c>
      <c r="I32" s="91" t="s">
        <v>909</v>
      </c>
      <c r="J32" s="84"/>
      <c r="K32" s="92" t="s">
        <v>910</v>
      </c>
      <c r="L32" s="84" t="s">
        <v>18</v>
      </c>
      <c r="M32" s="93" t="s">
        <v>164</v>
      </c>
      <c r="N32" s="84" t="s">
        <v>389</v>
      </c>
      <c r="O32" s="84"/>
      <c r="P32" s="91" t="s">
        <v>154</v>
      </c>
      <c r="Q32" s="91" t="s">
        <v>911</v>
      </c>
      <c r="R32" s="91" t="s">
        <v>912</v>
      </c>
      <c r="S32" s="91"/>
      <c r="T32" s="91" t="s">
        <v>913</v>
      </c>
      <c r="U32" s="91" t="s">
        <v>914</v>
      </c>
      <c r="V32" s="91">
        <v>50.75</v>
      </c>
      <c r="W32" s="91">
        <v>-120.6</v>
      </c>
      <c r="X32" s="91" t="s">
        <v>915</v>
      </c>
      <c r="Y32" s="104" t="s">
        <v>1990</v>
      </c>
      <c r="Z32" s="66" t="s">
        <v>2205</v>
      </c>
      <c r="AA32" s="93" t="s">
        <v>49</v>
      </c>
      <c r="AB32" s="84" t="s">
        <v>237</v>
      </c>
      <c r="AC32" s="84" t="s">
        <v>235</v>
      </c>
      <c r="AD32" s="84"/>
      <c r="AE32" s="84"/>
      <c r="AF32" s="84" t="s">
        <v>87</v>
      </c>
      <c r="AG32" s="84" t="s">
        <v>92</v>
      </c>
      <c r="AH32" s="84" t="s">
        <v>106</v>
      </c>
      <c r="AI32" s="84" t="s">
        <v>93</v>
      </c>
      <c r="AJ32" s="86">
        <v>1</v>
      </c>
      <c r="AK32" s="86">
        <v>1</v>
      </c>
      <c r="AL32" s="86">
        <v>1</v>
      </c>
      <c r="AM32" s="84" t="s">
        <v>916</v>
      </c>
      <c r="AN32" s="84" t="s">
        <v>829</v>
      </c>
      <c r="AO32" s="84" t="s">
        <v>526</v>
      </c>
      <c r="AP32" s="68" t="s">
        <v>2227</v>
      </c>
      <c r="AQ32" s="84" t="s">
        <v>94</v>
      </c>
      <c r="AR32" s="86">
        <v>5</v>
      </c>
      <c r="AS32" s="87" t="s">
        <v>227</v>
      </c>
      <c r="AT32" s="86">
        <v>10</v>
      </c>
      <c r="AU32" s="90"/>
      <c r="AV32" s="88">
        <v>0.30769230769230771</v>
      </c>
      <c r="AW32" s="84"/>
      <c r="AX32" s="84" t="s">
        <v>80</v>
      </c>
      <c r="AY32" s="86">
        <v>1</v>
      </c>
      <c r="AZ32" s="86">
        <v>5</v>
      </c>
      <c r="BA32" s="87" t="s">
        <v>227</v>
      </c>
      <c r="BB32" s="86">
        <v>10</v>
      </c>
      <c r="BC32" s="84"/>
      <c r="BD32" s="93" t="s">
        <v>122</v>
      </c>
      <c r="BE32" s="84" t="s">
        <v>157</v>
      </c>
      <c r="BF32" s="93" t="s">
        <v>110</v>
      </c>
      <c r="BG32" s="110" t="s">
        <v>21</v>
      </c>
      <c r="BH32" s="84" t="s">
        <v>81</v>
      </c>
      <c r="BI32" s="84" t="s">
        <v>917</v>
      </c>
      <c r="BJ32" s="89">
        <f t="shared" si="22"/>
        <v>3.25</v>
      </c>
      <c r="BK32" s="84">
        <v>39</v>
      </c>
      <c r="BL32" s="84">
        <v>39</v>
      </c>
      <c r="BM32" s="88">
        <v>3.25</v>
      </c>
      <c r="BN32" s="84" t="s">
        <v>389</v>
      </c>
      <c r="BO32" s="84" t="s">
        <v>342</v>
      </c>
      <c r="BP32" s="84" t="s">
        <v>64</v>
      </c>
      <c r="BQ32" s="84" t="s">
        <v>578</v>
      </c>
      <c r="BR32" s="81" t="s">
        <v>1779</v>
      </c>
      <c r="BS32" s="84" t="s">
        <v>2138</v>
      </c>
      <c r="BT32" s="84"/>
      <c r="BU32" s="86"/>
      <c r="BV32" s="86"/>
      <c r="BW32" s="90"/>
      <c r="BX32" s="86"/>
      <c r="BY32" s="86"/>
      <c r="BZ32" s="84"/>
      <c r="CA32" s="84"/>
      <c r="CB32" s="84"/>
      <c r="CC32" s="86"/>
      <c r="CD32" s="86"/>
      <c r="CE32" s="90"/>
      <c r="CF32" s="86"/>
      <c r="CG32" s="86"/>
      <c r="CH32" s="84"/>
      <c r="CI32" s="84"/>
      <c r="CJ32" s="84"/>
      <c r="CK32" s="86"/>
      <c r="CL32" s="86"/>
      <c r="CM32" s="86"/>
      <c r="CN32" s="86"/>
      <c r="CO32" s="86"/>
      <c r="CP32" s="84"/>
      <c r="CQ32" s="84"/>
      <c r="CR32" s="84" t="s">
        <v>572</v>
      </c>
      <c r="CS32" s="86">
        <v>7</v>
      </c>
      <c r="CT32" s="86">
        <v>0.9</v>
      </c>
      <c r="CU32" s="86">
        <v>2.0124611797498111</v>
      </c>
      <c r="CV32" s="86">
        <v>5</v>
      </c>
      <c r="CW32" s="86">
        <v>5</v>
      </c>
      <c r="CX32" s="84" t="s">
        <v>159</v>
      </c>
      <c r="CY32" s="84" t="s">
        <v>1356</v>
      </c>
      <c r="CZ32" s="84" t="s">
        <v>80</v>
      </c>
      <c r="DA32" s="82">
        <v>8.8000000000000007</v>
      </c>
      <c r="DB32" s="82">
        <v>1.8</v>
      </c>
      <c r="DC32" s="82">
        <v>4.0249223594996204</v>
      </c>
      <c r="DD32" s="82">
        <v>5</v>
      </c>
      <c r="DE32" s="82">
        <v>5</v>
      </c>
      <c r="DF32" s="84" t="s">
        <v>159</v>
      </c>
      <c r="DG32" s="84" t="s">
        <v>1356</v>
      </c>
      <c r="DH32" s="84" t="s">
        <v>572</v>
      </c>
      <c r="DI32" s="82">
        <v>6.8</v>
      </c>
      <c r="DJ32" s="82">
        <v>0.5</v>
      </c>
      <c r="DK32" s="82">
        <v>1.1180339887498949</v>
      </c>
      <c r="DL32" s="82">
        <v>5</v>
      </c>
      <c r="DM32" s="82">
        <v>5</v>
      </c>
      <c r="DN32" s="82" t="s">
        <v>159</v>
      </c>
      <c r="DO32" s="84" t="s">
        <v>1356</v>
      </c>
      <c r="DP32" s="84" t="s">
        <v>80</v>
      </c>
      <c r="DQ32" s="82">
        <v>6.8</v>
      </c>
      <c r="DR32" s="82">
        <v>0.5</v>
      </c>
      <c r="DS32" s="82">
        <v>1.1180339887498949</v>
      </c>
      <c r="DT32" s="82">
        <v>5</v>
      </c>
      <c r="DU32" s="82">
        <v>5</v>
      </c>
      <c r="DV32" s="84" t="s">
        <v>159</v>
      </c>
      <c r="DW32" s="84" t="s">
        <v>1356</v>
      </c>
      <c r="DX32" s="84" t="s">
        <v>1747</v>
      </c>
      <c r="DY32" s="86">
        <f>DI32-CS32</f>
        <v>-0.20000000000000018</v>
      </c>
      <c r="DZ32" s="86"/>
      <c r="EA32" s="86">
        <f>SQRT((CU32^2)+(DK32^2))</f>
        <v>2.3021728866442679</v>
      </c>
      <c r="EB32" s="86">
        <v>5</v>
      </c>
      <c r="EC32" s="86">
        <v>5</v>
      </c>
      <c r="ED32" s="84" t="s">
        <v>1743</v>
      </c>
      <c r="EE32" s="84" t="s">
        <v>1744</v>
      </c>
      <c r="EF32" s="84" t="s">
        <v>1746</v>
      </c>
      <c r="EG32" s="86">
        <f>DQ32-DA32</f>
        <v>-2.0000000000000009</v>
      </c>
      <c r="EH32" s="86"/>
      <c r="EI32" s="86">
        <f>SQRT((DS32^2)+(DC32^2))</f>
        <v>4.1773197148410839</v>
      </c>
      <c r="EJ32" s="86">
        <v>5</v>
      </c>
      <c r="EK32" s="86">
        <v>5</v>
      </c>
      <c r="EL32" s="84" t="s">
        <v>1743</v>
      </c>
      <c r="EM32" s="84" t="s">
        <v>1745</v>
      </c>
      <c r="EN32" s="86">
        <f t="shared" si="23"/>
        <v>-0.20000000000000018</v>
      </c>
      <c r="EO32" s="86">
        <f t="shared" si="24"/>
        <v>2.3021728866442679</v>
      </c>
      <c r="EP32" s="86">
        <f t="shared" si="25"/>
        <v>5</v>
      </c>
      <c r="EQ32" s="86">
        <f t="shared" si="26"/>
        <v>5</v>
      </c>
      <c r="ER32" s="86">
        <f t="shared" si="27"/>
        <v>-2.0000000000000009</v>
      </c>
      <c r="ES32" s="86">
        <f t="shared" si="28"/>
        <v>4.1773197148410839</v>
      </c>
      <c r="ET32" s="86">
        <f t="shared" si="29"/>
        <v>5</v>
      </c>
      <c r="EU32" s="86">
        <f t="shared" si="30"/>
        <v>5</v>
      </c>
      <c r="EV32" s="86">
        <f t="shared" si="3"/>
        <v>3.37268439080801</v>
      </c>
      <c r="EW32" s="86">
        <f t="shared" si="4"/>
        <v>0.53369950799599308</v>
      </c>
      <c r="EX32" s="86">
        <f t="shared" si="5"/>
        <v>0.4142417582417583</v>
      </c>
      <c r="EY32" s="86">
        <f t="shared" si="6"/>
        <v>0.90322580645161288</v>
      </c>
      <c r="EZ32" s="83">
        <f t="shared" si="7"/>
        <v>0.48205116851250984</v>
      </c>
      <c r="FA32" s="83">
        <f t="shared" si="8"/>
        <v>0.33794540942928042</v>
      </c>
      <c r="FB32" s="83">
        <f t="shared" si="9"/>
        <v>10</v>
      </c>
      <c r="FC32" s="84" t="s">
        <v>385</v>
      </c>
    </row>
    <row r="33" spans="1:159" s="82" customFormat="1" ht="17.100000000000001" customHeight="1">
      <c r="A33" s="78" t="s">
        <v>2010</v>
      </c>
      <c r="B33" s="81" t="s">
        <v>2011</v>
      </c>
      <c r="C33" s="80" t="str">
        <f t="shared" si="10"/>
        <v>Elliott, K. J., Vose, J. M., &amp; Hendrick, R. L.  2009.  Long-term effects of high intensity prescribed fire on vegetation dynamics in the Wine Spring Creek watershed, western North Carolina, USA. Fire Ecology. 5: 66-85.</v>
      </c>
      <c r="D33" s="81" t="s">
        <v>2012</v>
      </c>
      <c r="E33" s="81">
        <v>2009</v>
      </c>
      <c r="F33" s="91" t="s">
        <v>2013</v>
      </c>
      <c r="G33" s="91" t="s">
        <v>2014</v>
      </c>
      <c r="H33" s="91">
        <v>5</v>
      </c>
      <c r="I33" s="92" t="s">
        <v>2015</v>
      </c>
      <c r="J33" s="81"/>
      <c r="K33" s="91" t="s">
        <v>2016</v>
      </c>
      <c r="L33" s="84" t="s">
        <v>2017</v>
      </c>
      <c r="M33" s="95" t="s">
        <v>73</v>
      </c>
      <c r="N33" s="84" t="s">
        <v>389</v>
      </c>
      <c r="O33" s="84"/>
      <c r="P33" s="91" t="s">
        <v>16</v>
      </c>
      <c r="Q33" s="91" t="s">
        <v>551</v>
      </c>
      <c r="R33" s="91" t="s">
        <v>2018</v>
      </c>
      <c r="S33" s="91" t="s">
        <v>2019</v>
      </c>
      <c r="T33" s="91" t="s">
        <v>2020</v>
      </c>
      <c r="U33" s="91" t="s">
        <v>2005</v>
      </c>
      <c r="V33" s="91">
        <v>35.25</v>
      </c>
      <c r="W33" s="91">
        <v>-83.58</v>
      </c>
      <c r="X33" s="81" t="s">
        <v>2021</v>
      </c>
      <c r="Y33" s="66" t="s">
        <v>1898</v>
      </c>
      <c r="Z33" s="66" t="s">
        <v>2202</v>
      </c>
      <c r="AA33" s="93" t="s">
        <v>97</v>
      </c>
      <c r="AB33" s="91" t="s">
        <v>2022</v>
      </c>
      <c r="AC33" s="81" t="s">
        <v>235</v>
      </c>
      <c r="AD33" s="84" t="s">
        <v>64</v>
      </c>
      <c r="AE33" s="84" t="s">
        <v>2023</v>
      </c>
      <c r="AF33" s="84" t="s">
        <v>156</v>
      </c>
      <c r="AG33" s="84" t="s">
        <v>91</v>
      </c>
      <c r="AH33" s="84" t="s">
        <v>106</v>
      </c>
      <c r="AI33" s="84" t="s">
        <v>93</v>
      </c>
      <c r="AJ33" s="86">
        <v>1</v>
      </c>
      <c r="AK33" s="86">
        <v>1</v>
      </c>
      <c r="AL33" s="86">
        <v>1</v>
      </c>
      <c r="AM33" s="84" t="s">
        <v>2024</v>
      </c>
      <c r="AN33" s="84" t="s">
        <v>829</v>
      </c>
      <c r="AO33" s="84" t="s">
        <v>526</v>
      </c>
      <c r="AP33" s="68" t="s">
        <v>2227</v>
      </c>
      <c r="AQ33" s="84" t="s">
        <v>88</v>
      </c>
      <c r="AR33" s="114">
        <v>1</v>
      </c>
      <c r="AS33" s="86">
        <v>13</v>
      </c>
      <c r="AT33" s="86">
        <v>1</v>
      </c>
      <c r="AU33" s="90"/>
      <c r="AV33" s="88">
        <v>8.8888888888888892E-2</v>
      </c>
      <c r="AW33" s="84"/>
      <c r="AX33" s="84" t="s">
        <v>80</v>
      </c>
      <c r="AY33" s="114">
        <v>1</v>
      </c>
      <c r="AZ33" s="114">
        <v>1</v>
      </c>
      <c r="BA33" s="86">
        <v>13</v>
      </c>
      <c r="BB33" s="86">
        <v>1</v>
      </c>
      <c r="BC33" s="84"/>
      <c r="BD33" s="93" t="s">
        <v>122</v>
      </c>
      <c r="BE33" s="84" t="s">
        <v>157</v>
      </c>
      <c r="BF33" s="93" t="s">
        <v>112</v>
      </c>
      <c r="BG33" s="84" t="s">
        <v>21</v>
      </c>
      <c r="BH33" s="84" t="s">
        <v>81</v>
      </c>
      <c r="BI33" s="84" t="s">
        <v>2025</v>
      </c>
      <c r="BJ33" s="89">
        <f t="shared" si="22"/>
        <v>11.25</v>
      </c>
      <c r="BK33" s="84">
        <v>135</v>
      </c>
      <c r="BL33" s="84">
        <v>135</v>
      </c>
      <c r="BM33" s="88">
        <v>11.25</v>
      </c>
      <c r="BN33" s="84" t="s">
        <v>389</v>
      </c>
      <c r="BO33" s="84" t="s">
        <v>382</v>
      </c>
      <c r="BP33" s="84" t="s">
        <v>64</v>
      </c>
      <c r="BQ33" s="91" t="s">
        <v>2026</v>
      </c>
      <c r="BR33" s="81" t="s">
        <v>2027</v>
      </c>
      <c r="BS33" s="81" t="s">
        <v>2175</v>
      </c>
      <c r="BT33" s="84" t="s">
        <v>572</v>
      </c>
      <c r="BU33" s="86">
        <v>0.87</v>
      </c>
      <c r="BV33" s="86">
        <v>0.11</v>
      </c>
      <c r="BW33" s="90">
        <v>0.39661064030103882</v>
      </c>
      <c r="BX33" s="86">
        <v>13</v>
      </c>
      <c r="BY33" s="86">
        <v>13</v>
      </c>
      <c r="BZ33" s="84" t="s">
        <v>216</v>
      </c>
      <c r="CA33" s="84" t="s">
        <v>2028</v>
      </c>
      <c r="CB33" s="84" t="s">
        <v>80</v>
      </c>
      <c r="CC33" s="86">
        <v>1.28</v>
      </c>
      <c r="CD33" s="86">
        <v>0.13</v>
      </c>
      <c r="CE33" s="90">
        <v>0.4687216658103186</v>
      </c>
      <c r="CF33" s="86">
        <v>13</v>
      </c>
      <c r="CG33" s="86">
        <v>13</v>
      </c>
      <c r="CH33" s="84" t="s">
        <v>216</v>
      </c>
      <c r="CI33" s="84" t="s">
        <v>2028</v>
      </c>
      <c r="CJ33" s="84"/>
      <c r="CK33" s="86"/>
      <c r="CL33" s="86"/>
      <c r="CM33" s="86"/>
      <c r="CN33" s="86"/>
      <c r="CO33" s="86"/>
      <c r="CP33" s="84"/>
      <c r="CQ33" s="84"/>
      <c r="CR33" s="84"/>
      <c r="CS33" s="86"/>
      <c r="CT33" s="86"/>
      <c r="CU33" s="86"/>
      <c r="CV33" s="86"/>
      <c r="CW33" s="86"/>
      <c r="CX33" s="84"/>
      <c r="CY33" s="84"/>
      <c r="CZ33" s="84"/>
      <c r="DF33" s="84"/>
      <c r="DG33" s="84"/>
      <c r="DH33" s="84"/>
      <c r="DO33" s="84"/>
      <c r="DP33" s="84"/>
      <c r="DV33" s="84"/>
      <c r="DW33" s="84"/>
      <c r="DX33" s="84"/>
      <c r="DY33" s="86"/>
      <c r="DZ33" s="86"/>
      <c r="EA33" s="86"/>
      <c r="EB33" s="86"/>
      <c r="EC33" s="86"/>
      <c r="ED33" s="84"/>
      <c r="EE33" s="84"/>
      <c r="EF33" s="84"/>
      <c r="EG33" s="86"/>
      <c r="EH33" s="86"/>
      <c r="EI33" s="86"/>
      <c r="EJ33" s="86"/>
      <c r="EK33" s="86"/>
      <c r="EL33" s="84"/>
      <c r="EM33" s="84"/>
      <c r="EN33" s="86">
        <f t="shared" ref="EN33:EN43" si="31">BU33</f>
        <v>0.87</v>
      </c>
      <c r="EO33" s="90">
        <f t="shared" ref="EO33:EO43" si="32">BW33</f>
        <v>0.39661064030103882</v>
      </c>
      <c r="EP33" s="86">
        <f t="shared" ref="EP33:EP43" si="33">BX33</f>
        <v>13</v>
      </c>
      <c r="EQ33" s="86">
        <f t="shared" ref="EQ33:EQ43" si="34">BY33</f>
        <v>13</v>
      </c>
      <c r="ER33" s="86">
        <f t="shared" ref="ER33:ER43" si="35">CC33</f>
        <v>1.28</v>
      </c>
      <c r="ES33" s="90">
        <f t="shared" ref="ES33:ES43" si="36">CE33</f>
        <v>0.4687216658103186</v>
      </c>
      <c r="ET33" s="86">
        <f t="shared" ref="ET33:ET43" si="37">CF33</f>
        <v>13</v>
      </c>
      <c r="EU33" s="86">
        <f t="shared" ref="EU33:EU43" si="38">CG33</f>
        <v>13</v>
      </c>
      <c r="EV33" s="86">
        <f t="shared" si="3"/>
        <v>0.43416586692184816</v>
      </c>
      <c r="EW33" s="86">
        <f t="shared" si="4"/>
        <v>-0.94433955139500159</v>
      </c>
      <c r="EX33" s="86">
        <f t="shared" si="5"/>
        <v>0.17099571516017142</v>
      </c>
      <c r="EY33" s="86">
        <f t="shared" si="6"/>
        <v>0.96842105263157896</v>
      </c>
      <c r="EZ33" s="83">
        <f t="shared" si="7"/>
        <v>-0.91451830240358045</v>
      </c>
      <c r="FA33" s="83">
        <f t="shared" si="8"/>
        <v>0.1603665078244533</v>
      </c>
      <c r="FB33" s="83">
        <f t="shared" si="9"/>
        <v>26</v>
      </c>
      <c r="FC33" s="84" t="s">
        <v>385</v>
      </c>
    </row>
    <row r="34" spans="1:159" s="82" customFormat="1" ht="17.100000000000001" customHeight="1">
      <c r="A34" s="78" t="s">
        <v>2010</v>
      </c>
      <c r="B34" s="81" t="s">
        <v>2011</v>
      </c>
      <c r="C34" s="80" t="str">
        <f t="shared" si="10"/>
        <v>Elliott, K. J., Vose, J. M., &amp; Hendrick, R. L.  2009.  Long-term effects of high intensity prescribed fire on vegetation dynamics in the Wine Spring Creek watershed, western North Carolina, USA. Fire Ecology. 5: 66-85.</v>
      </c>
      <c r="D34" s="81" t="s">
        <v>2012</v>
      </c>
      <c r="E34" s="81">
        <v>2009</v>
      </c>
      <c r="F34" s="91" t="s">
        <v>2013</v>
      </c>
      <c r="G34" s="91" t="s">
        <v>2014</v>
      </c>
      <c r="H34" s="91">
        <v>5</v>
      </c>
      <c r="I34" s="92" t="s">
        <v>2015</v>
      </c>
      <c r="J34" s="81"/>
      <c r="K34" s="91" t="s">
        <v>2016</v>
      </c>
      <c r="L34" s="84" t="s">
        <v>2017</v>
      </c>
      <c r="M34" s="95" t="s">
        <v>73</v>
      </c>
      <c r="N34" s="84" t="s">
        <v>389</v>
      </c>
      <c r="O34" s="84"/>
      <c r="P34" s="91" t="s">
        <v>16</v>
      </c>
      <c r="Q34" s="91" t="s">
        <v>551</v>
      </c>
      <c r="R34" s="91" t="s">
        <v>2018</v>
      </c>
      <c r="S34" s="91" t="s">
        <v>2019</v>
      </c>
      <c r="T34" s="91" t="s">
        <v>2020</v>
      </c>
      <c r="U34" s="91" t="s">
        <v>2005</v>
      </c>
      <c r="V34" s="91">
        <v>35.25</v>
      </c>
      <c r="W34" s="91">
        <v>-83.58</v>
      </c>
      <c r="X34" s="81" t="s">
        <v>2021</v>
      </c>
      <c r="Y34" s="66" t="s">
        <v>1898</v>
      </c>
      <c r="Z34" s="66" t="s">
        <v>2202</v>
      </c>
      <c r="AA34" s="93" t="s">
        <v>97</v>
      </c>
      <c r="AB34" s="91" t="s">
        <v>2022</v>
      </c>
      <c r="AC34" s="81" t="s">
        <v>235</v>
      </c>
      <c r="AD34" s="84" t="s">
        <v>64</v>
      </c>
      <c r="AE34" s="84" t="s">
        <v>2023</v>
      </c>
      <c r="AF34" s="84" t="s">
        <v>156</v>
      </c>
      <c r="AG34" s="84" t="s">
        <v>91</v>
      </c>
      <c r="AH34" s="84" t="s">
        <v>106</v>
      </c>
      <c r="AI34" s="84" t="s">
        <v>93</v>
      </c>
      <c r="AJ34" s="86">
        <v>1</v>
      </c>
      <c r="AK34" s="86">
        <v>1</v>
      </c>
      <c r="AL34" s="86">
        <v>1</v>
      </c>
      <c r="AM34" s="84" t="s">
        <v>2024</v>
      </c>
      <c r="AN34" s="84" t="s">
        <v>829</v>
      </c>
      <c r="AO34" s="84" t="s">
        <v>526</v>
      </c>
      <c r="AP34" s="68" t="s">
        <v>2227</v>
      </c>
      <c r="AQ34" s="84" t="s">
        <v>88</v>
      </c>
      <c r="AR34" s="114">
        <v>1</v>
      </c>
      <c r="AS34" s="86">
        <v>13</v>
      </c>
      <c r="AT34" s="86">
        <v>1</v>
      </c>
      <c r="AU34" s="90"/>
      <c r="AV34" s="88">
        <v>8.8888888888888892E-2</v>
      </c>
      <c r="AW34" s="84"/>
      <c r="AX34" s="84" t="s">
        <v>80</v>
      </c>
      <c r="AY34" s="114">
        <v>1</v>
      </c>
      <c r="AZ34" s="114">
        <v>1</v>
      </c>
      <c r="BA34" s="86">
        <v>13</v>
      </c>
      <c r="BB34" s="86">
        <v>1</v>
      </c>
      <c r="BC34" s="84"/>
      <c r="BD34" s="93" t="s">
        <v>122</v>
      </c>
      <c r="BE34" s="84" t="s">
        <v>157</v>
      </c>
      <c r="BF34" s="93" t="s">
        <v>110</v>
      </c>
      <c r="BG34" s="84" t="s">
        <v>21</v>
      </c>
      <c r="BH34" s="84" t="s">
        <v>81</v>
      </c>
      <c r="BI34" s="84" t="s">
        <v>2025</v>
      </c>
      <c r="BJ34" s="89">
        <f t="shared" si="22"/>
        <v>11.25</v>
      </c>
      <c r="BK34" s="84">
        <v>135</v>
      </c>
      <c r="BL34" s="84">
        <v>135</v>
      </c>
      <c r="BM34" s="88">
        <v>11.25</v>
      </c>
      <c r="BN34" s="84" t="s">
        <v>389</v>
      </c>
      <c r="BO34" s="84" t="s">
        <v>382</v>
      </c>
      <c r="BP34" s="84" t="s">
        <v>64</v>
      </c>
      <c r="BQ34" s="91" t="s">
        <v>2026</v>
      </c>
      <c r="BR34" s="81" t="s">
        <v>2029</v>
      </c>
      <c r="BS34" s="81" t="s">
        <v>388</v>
      </c>
      <c r="BT34" s="84" t="s">
        <v>572</v>
      </c>
      <c r="BU34" s="86">
        <v>0.89</v>
      </c>
      <c r="BV34" s="86">
        <v>0.14000000000000001</v>
      </c>
      <c r="BW34" s="90">
        <v>0.50477717856495852</v>
      </c>
      <c r="BX34" s="86">
        <v>13</v>
      </c>
      <c r="BY34" s="86">
        <v>13</v>
      </c>
      <c r="BZ34" s="84" t="s">
        <v>40</v>
      </c>
      <c r="CA34" s="84" t="s">
        <v>2028</v>
      </c>
      <c r="CB34" s="84" t="s">
        <v>80</v>
      </c>
      <c r="CC34" s="86">
        <v>1.03</v>
      </c>
      <c r="CD34" s="86">
        <v>0.15</v>
      </c>
      <c r="CE34" s="90">
        <v>0.54083269131959832</v>
      </c>
      <c r="CF34" s="86">
        <v>13</v>
      </c>
      <c r="CG34" s="86">
        <v>13</v>
      </c>
      <c r="CH34" s="84" t="s">
        <v>40</v>
      </c>
      <c r="CI34" s="84" t="s">
        <v>2028</v>
      </c>
      <c r="CJ34" s="84"/>
      <c r="CK34" s="86"/>
      <c r="CL34" s="86"/>
      <c r="CM34" s="86"/>
      <c r="CN34" s="86"/>
      <c r="CO34" s="86"/>
      <c r="CP34" s="84"/>
      <c r="CQ34" s="84"/>
      <c r="CR34" s="84"/>
      <c r="CS34" s="86"/>
      <c r="CT34" s="86"/>
      <c r="CU34" s="86"/>
      <c r="CV34" s="86"/>
      <c r="CW34" s="86"/>
      <c r="CX34" s="84"/>
      <c r="CY34" s="84"/>
      <c r="CZ34" s="84"/>
      <c r="DF34" s="84"/>
      <c r="DG34" s="84"/>
      <c r="DH34" s="84"/>
      <c r="DO34" s="84"/>
      <c r="DP34" s="84"/>
      <c r="DV34" s="84"/>
      <c r="DW34" s="84"/>
      <c r="DX34" s="84"/>
      <c r="DY34" s="86"/>
      <c r="DZ34" s="86"/>
      <c r="EA34" s="86"/>
      <c r="EB34" s="86"/>
      <c r="EC34" s="86"/>
      <c r="ED34" s="84"/>
      <c r="EE34" s="84"/>
      <c r="EF34" s="84"/>
      <c r="EG34" s="86"/>
      <c r="EH34" s="86"/>
      <c r="EI34" s="86"/>
      <c r="EJ34" s="86"/>
      <c r="EK34" s="86"/>
      <c r="EL34" s="84"/>
      <c r="EM34" s="84"/>
      <c r="EN34" s="86">
        <f t="shared" si="31"/>
        <v>0.89</v>
      </c>
      <c r="EO34" s="90">
        <f t="shared" si="32"/>
        <v>0.50477717856495852</v>
      </c>
      <c r="EP34" s="86">
        <f t="shared" si="33"/>
        <v>13</v>
      </c>
      <c r="EQ34" s="86">
        <f t="shared" si="34"/>
        <v>13</v>
      </c>
      <c r="ER34" s="86">
        <f t="shared" si="35"/>
        <v>1.03</v>
      </c>
      <c r="ES34" s="90">
        <f t="shared" si="36"/>
        <v>0.54083269131959832</v>
      </c>
      <c r="ET34" s="86">
        <f t="shared" si="37"/>
        <v>13</v>
      </c>
      <c r="EU34" s="86">
        <f t="shared" si="38"/>
        <v>13</v>
      </c>
      <c r="EV34" s="86">
        <f t="shared" si="3"/>
        <v>0.52311566598602255</v>
      </c>
      <c r="EW34" s="86">
        <f t="shared" si="4"/>
        <v>-0.26762723638970654</v>
      </c>
      <c r="EX34" s="86">
        <f t="shared" si="5"/>
        <v>0.15522354495495369</v>
      </c>
      <c r="EY34" s="86">
        <f t="shared" si="6"/>
        <v>0.96842105263157896</v>
      </c>
      <c r="EZ34" s="83">
        <f t="shared" si="7"/>
        <v>-0.25917584997740001</v>
      </c>
      <c r="FA34" s="83">
        <f t="shared" si="8"/>
        <v>0.14557474620484523</v>
      </c>
      <c r="FB34" s="83">
        <f t="shared" si="9"/>
        <v>26</v>
      </c>
      <c r="FC34" s="84" t="s">
        <v>385</v>
      </c>
    </row>
    <row r="35" spans="1:159" s="82" customFormat="1" ht="17.100000000000001" customHeight="1">
      <c r="A35" s="78" t="s">
        <v>2010</v>
      </c>
      <c r="B35" s="81" t="s">
        <v>2011</v>
      </c>
      <c r="C35" s="80" t="str">
        <f t="shared" si="10"/>
        <v>Elliott, K. J., Vose, J. M., &amp; Hendrick, R. L.  2009.  Long-term effects of high intensity prescribed fire on vegetation dynamics in the Wine Spring Creek watershed, western North Carolina, USA. Fire Ecology. 5: 66-85.</v>
      </c>
      <c r="D35" s="81" t="s">
        <v>2012</v>
      </c>
      <c r="E35" s="81">
        <v>2009</v>
      </c>
      <c r="F35" s="91" t="s">
        <v>2013</v>
      </c>
      <c r="G35" s="91" t="s">
        <v>2014</v>
      </c>
      <c r="H35" s="91">
        <v>5</v>
      </c>
      <c r="I35" s="92" t="s">
        <v>2015</v>
      </c>
      <c r="J35" s="81"/>
      <c r="K35" s="91" t="s">
        <v>2016</v>
      </c>
      <c r="L35" s="84" t="s">
        <v>2017</v>
      </c>
      <c r="M35" s="95" t="s">
        <v>73</v>
      </c>
      <c r="N35" s="84" t="s">
        <v>389</v>
      </c>
      <c r="O35" s="84"/>
      <c r="P35" s="91" t="s">
        <v>16</v>
      </c>
      <c r="Q35" s="91" t="s">
        <v>551</v>
      </c>
      <c r="R35" s="91" t="s">
        <v>2018</v>
      </c>
      <c r="S35" s="91" t="s">
        <v>2019</v>
      </c>
      <c r="T35" s="91" t="s">
        <v>2020</v>
      </c>
      <c r="U35" s="91" t="s">
        <v>2005</v>
      </c>
      <c r="V35" s="91">
        <v>35.25</v>
      </c>
      <c r="W35" s="91">
        <v>-83.58</v>
      </c>
      <c r="X35" s="81" t="s">
        <v>2021</v>
      </c>
      <c r="Y35" s="66" t="s">
        <v>1898</v>
      </c>
      <c r="Z35" s="66" t="s">
        <v>2202</v>
      </c>
      <c r="AA35" s="93" t="s">
        <v>97</v>
      </c>
      <c r="AB35" s="91" t="s">
        <v>2022</v>
      </c>
      <c r="AC35" s="81" t="s">
        <v>235</v>
      </c>
      <c r="AD35" s="84" t="s">
        <v>64</v>
      </c>
      <c r="AE35" s="84" t="s">
        <v>2023</v>
      </c>
      <c r="AF35" s="84" t="s">
        <v>156</v>
      </c>
      <c r="AG35" s="84" t="s">
        <v>91</v>
      </c>
      <c r="AH35" s="84" t="s">
        <v>106</v>
      </c>
      <c r="AI35" s="84" t="s">
        <v>93</v>
      </c>
      <c r="AJ35" s="86">
        <v>1</v>
      </c>
      <c r="AK35" s="86">
        <v>1</v>
      </c>
      <c r="AL35" s="86">
        <v>1</v>
      </c>
      <c r="AM35" s="84" t="s">
        <v>2024</v>
      </c>
      <c r="AN35" s="84" t="s">
        <v>829</v>
      </c>
      <c r="AO35" s="84" t="s">
        <v>526</v>
      </c>
      <c r="AP35" s="68" t="s">
        <v>2227</v>
      </c>
      <c r="AQ35" s="84" t="s">
        <v>88</v>
      </c>
      <c r="AR35" s="114">
        <v>1</v>
      </c>
      <c r="AS35" s="86">
        <v>13</v>
      </c>
      <c r="AT35" s="86">
        <v>1</v>
      </c>
      <c r="AU35" s="90"/>
      <c r="AV35" s="88">
        <v>8.8888888888888892E-2</v>
      </c>
      <c r="AW35" s="84"/>
      <c r="AX35" s="84" t="s">
        <v>80</v>
      </c>
      <c r="AY35" s="114">
        <v>1</v>
      </c>
      <c r="AZ35" s="114">
        <v>1</v>
      </c>
      <c r="BA35" s="86">
        <v>13</v>
      </c>
      <c r="BB35" s="86">
        <v>1</v>
      </c>
      <c r="BC35" s="84"/>
      <c r="BD35" s="93" t="s">
        <v>124</v>
      </c>
      <c r="BE35" s="84" t="s">
        <v>182</v>
      </c>
      <c r="BF35" s="93" t="s">
        <v>110</v>
      </c>
      <c r="BG35" s="84" t="s">
        <v>21</v>
      </c>
      <c r="BH35" s="84" t="s">
        <v>81</v>
      </c>
      <c r="BI35" s="84" t="s">
        <v>2025</v>
      </c>
      <c r="BJ35" s="89">
        <f t="shared" si="22"/>
        <v>11.25</v>
      </c>
      <c r="BK35" s="84">
        <v>135</v>
      </c>
      <c r="BL35" s="84">
        <v>135</v>
      </c>
      <c r="BM35" s="88">
        <v>11.25</v>
      </c>
      <c r="BN35" s="84" t="s">
        <v>389</v>
      </c>
      <c r="BO35" s="84" t="s">
        <v>382</v>
      </c>
      <c r="BP35" s="84" t="s">
        <v>64</v>
      </c>
      <c r="BQ35" s="84"/>
      <c r="BR35" s="81" t="s">
        <v>2030</v>
      </c>
      <c r="BS35" s="81" t="s">
        <v>388</v>
      </c>
      <c r="BT35" s="84" t="s">
        <v>572</v>
      </c>
      <c r="BU35" s="86">
        <v>4.7</v>
      </c>
      <c r="BV35" s="86">
        <v>0.4</v>
      </c>
      <c r="BW35" s="90">
        <v>1.4422205101855958</v>
      </c>
      <c r="BX35" s="86">
        <v>13</v>
      </c>
      <c r="BY35" s="86">
        <v>13</v>
      </c>
      <c r="BZ35" s="84" t="s">
        <v>40</v>
      </c>
      <c r="CA35" s="84" t="s">
        <v>2028</v>
      </c>
      <c r="CB35" s="84" t="s">
        <v>80</v>
      </c>
      <c r="CC35" s="86">
        <v>5</v>
      </c>
      <c r="CD35" s="86">
        <v>0.6</v>
      </c>
      <c r="CE35" s="90">
        <v>2.1633307652783933</v>
      </c>
      <c r="CF35" s="86">
        <v>13</v>
      </c>
      <c r="CG35" s="86">
        <v>13</v>
      </c>
      <c r="CH35" s="84" t="s">
        <v>40</v>
      </c>
      <c r="CI35" s="84" t="s">
        <v>2028</v>
      </c>
      <c r="CJ35" s="84"/>
      <c r="CK35" s="86"/>
      <c r="CL35" s="86"/>
      <c r="CM35" s="86"/>
      <c r="CN35" s="86"/>
      <c r="CO35" s="86"/>
      <c r="CP35" s="84"/>
      <c r="CQ35" s="84"/>
      <c r="CR35" s="84"/>
      <c r="CS35" s="86"/>
      <c r="CT35" s="86"/>
      <c r="CU35" s="86"/>
      <c r="CV35" s="86"/>
      <c r="CW35" s="86"/>
      <c r="CX35" s="84"/>
      <c r="CY35" s="84"/>
      <c r="CZ35" s="84"/>
      <c r="DF35" s="84"/>
      <c r="DG35" s="84"/>
      <c r="DH35" s="84"/>
      <c r="DO35" s="84"/>
      <c r="DP35" s="84"/>
      <c r="DV35" s="84"/>
      <c r="DW35" s="84"/>
      <c r="DX35" s="84"/>
      <c r="DY35" s="86"/>
      <c r="DZ35" s="86"/>
      <c r="EA35" s="86"/>
      <c r="EB35" s="86"/>
      <c r="EC35" s="86"/>
      <c r="ED35" s="84"/>
      <c r="EE35" s="84"/>
      <c r="EF35" s="84"/>
      <c r="EG35" s="86"/>
      <c r="EH35" s="86"/>
      <c r="EI35" s="86"/>
      <c r="EJ35" s="86"/>
      <c r="EK35" s="86"/>
      <c r="EL35" s="84"/>
      <c r="EM35" s="84"/>
      <c r="EN35" s="86">
        <f t="shared" si="31"/>
        <v>4.7</v>
      </c>
      <c r="EO35" s="90">
        <f t="shared" si="32"/>
        <v>1.4422205101855958</v>
      </c>
      <c r="EP35" s="86">
        <f t="shared" si="33"/>
        <v>13</v>
      </c>
      <c r="EQ35" s="86">
        <f t="shared" si="34"/>
        <v>13</v>
      </c>
      <c r="ER35" s="86">
        <f t="shared" si="35"/>
        <v>5</v>
      </c>
      <c r="ES35" s="90">
        <f t="shared" si="36"/>
        <v>2.1633307652783933</v>
      </c>
      <c r="ET35" s="86">
        <f t="shared" si="37"/>
        <v>13</v>
      </c>
      <c r="EU35" s="86">
        <f t="shared" si="38"/>
        <v>13</v>
      </c>
      <c r="EV35" s="86">
        <f t="shared" ref="EV35:EV66" si="39">SQRT((((EP35-1)*EO35^2)+((ET35-1)*ES35^2))/((EP35+ET35)-2))</f>
        <v>1.8384776310850235</v>
      </c>
      <c r="EW35" s="86">
        <f t="shared" ref="EW35:EW66" si="40">(EN35-ER35)/EV35</f>
        <v>-0.16317848796612627</v>
      </c>
      <c r="EX35" s="86">
        <f t="shared" ref="EX35:EX66" si="41">((EQ35+EU35)/(EQ35*EU35))+((EW35^2)/(2*(EP35+ET35)))</f>
        <v>0.15435821574874831</v>
      </c>
      <c r="EY35" s="86">
        <f t="shared" ref="EY35:EY66" si="42">1-(3/((4*(EP35+ET35-2))-1))</f>
        <v>0.96842105263157896</v>
      </c>
      <c r="EZ35" s="83">
        <f t="shared" ref="EZ35:EZ66" si="43">EY35*EW35</f>
        <v>-0.15802548308298545</v>
      </c>
      <c r="FA35" s="83">
        <f t="shared" ref="FA35:FA66" si="44">(EY35^2)*EX35</f>
        <v>0.14476320643738569</v>
      </c>
      <c r="FB35" s="83">
        <f t="shared" ref="FB35:FB66" si="45">EQ35+EU35</f>
        <v>26</v>
      </c>
      <c r="FC35" s="84" t="s">
        <v>385</v>
      </c>
    </row>
    <row r="36" spans="1:159" s="82" customFormat="1" ht="17.100000000000001" customHeight="1">
      <c r="A36" s="78" t="s">
        <v>2010</v>
      </c>
      <c r="B36" s="81" t="s">
        <v>2011</v>
      </c>
      <c r="C36" s="80" t="str">
        <f t="shared" si="10"/>
        <v>Elliott, K. J., Vose, J. M., &amp; Hendrick, R. L.  2009.  Long-term effects of high intensity prescribed fire on vegetation dynamics in the Wine Spring Creek watershed, western North Carolina, USA. Fire Ecology. 5: 66-85.</v>
      </c>
      <c r="D36" s="81" t="s">
        <v>2012</v>
      </c>
      <c r="E36" s="81">
        <v>2009</v>
      </c>
      <c r="F36" s="91" t="s">
        <v>2013</v>
      </c>
      <c r="G36" s="91" t="s">
        <v>2014</v>
      </c>
      <c r="H36" s="91">
        <v>5</v>
      </c>
      <c r="I36" s="92" t="s">
        <v>2015</v>
      </c>
      <c r="J36" s="81"/>
      <c r="K36" s="91" t="s">
        <v>2016</v>
      </c>
      <c r="L36" s="84" t="s">
        <v>2017</v>
      </c>
      <c r="M36" s="95" t="s">
        <v>73</v>
      </c>
      <c r="N36" s="84" t="s">
        <v>389</v>
      </c>
      <c r="O36" s="84"/>
      <c r="P36" s="91" t="s">
        <v>16</v>
      </c>
      <c r="Q36" s="91" t="s">
        <v>551</v>
      </c>
      <c r="R36" s="91" t="s">
        <v>2018</v>
      </c>
      <c r="S36" s="91" t="s">
        <v>2019</v>
      </c>
      <c r="T36" s="91" t="s">
        <v>2020</v>
      </c>
      <c r="U36" s="91" t="s">
        <v>2005</v>
      </c>
      <c r="V36" s="91">
        <v>35.25</v>
      </c>
      <c r="W36" s="91">
        <v>-83.58</v>
      </c>
      <c r="X36" s="81" t="s">
        <v>2021</v>
      </c>
      <c r="Y36" s="66" t="s">
        <v>1898</v>
      </c>
      <c r="Z36" s="66" t="s">
        <v>2202</v>
      </c>
      <c r="AA36" s="93" t="s">
        <v>97</v>
      </c>
      <c r="AB36" s="91" t="s">
        <v>2022</v>
      </c>
      <c r="AC36" s="81" t="s">
        <v>235</v>
      </c>
      <c r="AD36" s="84" t="s">
        <v>64</v>
      </c>
      <c r="AE36" s="84" t="s">
        <v>2023</v>
      </c>
      <c r="AF36" s="84" t="s">
        <v>156</v>
      </c>
      <c r="AG36" s="84" t="s">
        <v>91</v>
      </c>
      <c r="AH36" s="84" t="s">
        <v>106</v>
      </c>
      <c r="AI36" s="84" t="s">
        <v>93</v>
      </c>
      <c r="AJ36" s="86">
        <v>1</v>
      </c>
      <c r="AK36" s="86">
        <v>1</v>
      </c>
      <c r="AL36" s="86">
        <v>1</v>
      </c>
      <c r="AM36" s="84" t="s">
        <v>2024</v>
      </c>
      <c r="AN36" s="84" t="s">
        <v>829</v>
      </c>
      <c r="AO36" s="84" t="s">
        <v>526</v>
      </c>
      <c r="AP36" s="68" t="s">
        <v>2227</v>
      </c>
      <c r="AQ36" s="84" t="s">
        <v>88</v>
      </c>
      <c r="AR36" s="114">
        <v>1</v>
      </c>
      <c r="AS36" s="86">
        <v>13</v>
      </c>
      <c r="AT36" s="86">
        <v>1</v>
      </c>
      <c r="AU36" s="90"/>
      <c r="AV36" s="88">
        <v>8.8888888888888892E-2</v>
      </c>
      <c r="AW36" s="84"/>
      <c r="AX36" s="84" t="s">
        <v>80</v>
      </c>
      <c r="AY36" s="114">
        <v>1</v>
      </c>
      <c r="AZ36" s="114">
        <v>1</v>
      </c>
      <c r="BA36" s="86">
        <v>6</v>
      </c>
      <c r="BB36" s="86">
        <v>5</v>
      </c>
      <c r="BC36" s="84"/>
      <c r="BD36" s="93" t="s">
        <v>122</v>
      </c>
      <c r="BE36" s="84" t="s">
        <v>157</v>
      </c>
      <c r="BF36" s="93" t="s">
        <v>386</v>
      </c>
      <c r="BG36" s="84" t="s">
        <v>21</v>
      </c>
      <c r="BH36" s="84" t="s">
        <v>81</v>
      </c>
      <c r="BI36" s="84" t="s">
        <v>365</v>
      </c>
      <c r="BJ36" s="89">
        <f t="shared" si="22"/>
        <v>11.25</v>
      </c>
      <c r="BK36" s="84">
        <v>135</v>
      </c>
      <c r="BL36" s="84">
        <v>135</v>
      </c>
      <c r="BM36" s="88">
        <v>11.25</v>
      </c>
      <c r="BN36" s="84" t="s">
        <v>389</v>
      </c>
      <c r="BO36" s="84" t="s">
        <v>382</v>
      </c>
      <c r="BP36" s="84" t="s">
        <v>64</v>
      </c>
      <c r="BQ36" s="84" t="s">
        <v>769</v>
      </c>
      <c r="BR36" s="81" t="s">
        <v>2031</v>
      </c>
      <c r="BS36" s="81" t="s">
        <v>2125</v>
      </c>
      <c r="BT36" s="84" t="s">
        <v>572</v>
      </c>
      <c r="BU36" s="86">
        <v>2.25</v>
      </c>
      <c r="BV36" s="86">
        <v>0.08</v>
      </c>
      <c r="BW36" s="90">
        <v>0.19595917942265423</v>
      </c>
      <c r="BX36" s="86">
        <v>6</v>
      </c>
      <c r="BY36" s="86">
        <v>6</v>
      </c>
      <c r="BZ36" s="84" t="s">
        <v>624</v>
      </c>
      <c r="CA36" s="84" t="s">
        <v>2028</v>
      </c>
      <c r="CB36" s="84" t="s">
        <v>80</v>
      </c>
      <c r="CC36" s="86">
        <v>1.02</v>
      </c>
      <c r="CD36" s="86">
        <v>0.22</v>
      </c>
      <c r="CE36" s="90">
        <v>0.53888774341229917</v>
      </c>
      <c r="CF36" s="86">
        <v>6</v>
      </c>
      <c r="CG36" s="86">
        <v>6</v>
      </c>
      <c r="CH36" s="84" t="s">
        <v>624</v>
      </c>
      <c r="CI36" s="84" t="s">
        <v>2028</v>
      </c>
      <c r="CJ36" s="84"/>
      <c r="CK36" s="86"/>
      <c r="CL36" s="86"/>
      <c r="CM36" s="86"/>
      <c r="CN36" s="86"/>
      <c r="CO36" s="86"/>
      <c r="CP36" s="84"/>
      <c r="CQ36" s="84"/>
      <c r="CR36" s="84"/>
      <c r="CS36" s="86"/>
      <c r="CT36" s="86"/>
      <c r="CU36" s="86"/>
      <c r="CV36" s="86"/>
      <c r="CW36" s="86"/>
      <c r="CX36" s="84"/>
      <c r="CY36" s="84"/>
      <c r="CZ36" s="84"/>
      <c r="DF36" s="84"/>
      <c r="DG36" s="84"/>
      <c r="DH36" s="84"/>
      <c r="DO36" s="84"/>
      <c r="DP36" s="84"/>
      <c r="DV36" s="84"/>
      <c r="DW36" s="84"/>
      <c r="DX36" s="84"/>
      <c r="DY36" s="86"/>
      <c r="DZ36" s="86"/>
      <c r="EA36" s="86"/>
      <c r="EB36" s="86"/>
      <c r="EC36" s="86"/>
      <c r="ED36" s="84"/>
      <c r="EE36" s="84"/>
      <c r="EF36" s="84"/>
      <c r="EG36" s="86"/>
      <c r="EH36" s="86"/>
      <c r="EI36" s="86"/>
      <c r="EJ36" s="86"/>
      <c r="EK36" s="86"/>
      <c r="EL36" s="84"/>
      <c r="EM36" s="84"/>
      <c r="EN36" s="86">
        <f t="shared" si="31"/>
        <v>2.25</v>
      </c>
      <c r="EO36" s="90">
        <f t="shared" si="32"/>
        <v>0.19595917942265423</v>
      </c>
      <c r="EP36" s="86">
        <f t="shared" si="33"/>
        <v>6</v>
      </c>
      <c r="EQ36" s="86">
        <f t="shared" si="34"/>
        <v>6</v>
      </c>
      <c r="ER36" s="86">
        <f t="shared" si="35"/>
        <v>1.02</v>
      </c>
      <c r="ES36" s="90">
        <f t="shared" si="36"/>
        <v>0.53888774341229917</v>
      </c>
      <c r="ET36" s="86">
        <f t="shared" si="37"/>
        <v>6</v>
      </c>
      <c r="EU36" s="86">
        <f t="shared" si="38"/>
        <v>6</v>
      </c>
      <c r="EV36" s="86">
        <f t="shared" si="39"/>
        <v>0.40546269865426582</v>
      </c>
      <c r="EW36" s="86">
        <f t="shared" si="40"/>
        <v>3.0335712855519894</v>
      </c>
      <c r="EX36" s="86">
        <f t="shared" si="41"/>
        <v>0.71677311435523117</v>
      </c>
      <c r="EY36" s="86">
        <f t="shared" si="42"/>
        <v>0.92307692307692313</v>
      </c>
      <c r="EZ36" s="83">
        <f t="shared" si="43"/>
        <v>2.8002196482018364</v>
      </c>
      <c r="FA36" s="83">
        <f t="shared" si="44"/>
        <v>0.61074158856303729</v>
      </c>
      <c r="FB36" s="83">
        <f t="shared" si="45"/>
        <v>12</v>
      </c>
      <c r="FC36" s="84" t="s">
        <v>385</v>
      </c>
    </row>
    <row r="37" spans="1:159" s="82" customFormat="1" ht="17.100000000000001" customHeight="1">
      <c r="A37" s="78" t="s">
        <v>2010</v>
      </c>
      <c r="B37" s="81" t="s">
        <v>2011</v>
      </c>
      <c r="C37" s="80" t="str">
        <f t="shared" si="10"/>
        <v>Elliott, K. J., Vose, J. M., &amp; Hendrick, R. L.  2009.  Long-term effects of high intensity prescribed fire on vegetation dynamics in the Wine Spring Creek watershed, western North Carolina, USA. Fire Ecology. 5: 66-85.</v>
      </c>
      <c r="D37" s="81" t="s">
        <v>2012</v>
      </c>
      <c r="E37" s="81">
        <v>2009</v>
      </c>
      <c r="F37" s="91" t="s">
        <v>2013</v>
      </c>
      <c r="G37" s="91" t="s">
        <v>2014</v>
      </c>
      <c r="H37" s="91">
        <v>5</v>
      </c>
      <c r="I37" s="92" t="s">
        <v>2015</v>
      </c>
      <c r="J37" s="81"/>
      <c r="K37" s="91" t="s">
        <v>2016</v>
      </c>
      <c r="L37" s="84" t="s">
        <v>2017</v>
      </c>
      <c r="M37" s="95" t="s">
        <v>73</v>
      </c>
      <c r="N37" s="84" t="s">
        <v>389</v>
      </c>
      <c r="O37" s="84"/>
      <c r="P37" s="91" t="s">
        <v>16</v>
      </c>
      <c r="Q37" s="91" t="s">
        <v>551</v>
      </c>
      <c r="R37" s="91" t="s">
        <v>2018</v>
      </c>
      <c r="S37" s="91" t="s">
        <v>2019</v>
      </c>
      <c r="T37" s="91" t="s">
        <v>2020</v>
      </c>
      <c r="U37" s="91" t="s">
        <v>2005</v>
      </c>
      <c r="V37" s="91">
        <v>35.25</v>
      </c>
      <c r="W37" s="91">
        <v>-83.58</v>
      </c>
      <c r="X37" s="81" t="s">
        <v>2021</v>
      </c>
      <c r="Y37" s="66" t="s">
        <v>1898</v>
      </c>
      <c r="Z37" s="66" t="s">
        <v>2202</v>
      </c>
      <c r="AA37" s="93" t="s">
        <v>97</v>
      </c>
      <c r="AB37" s="91" t="s">
        <v>2022</v>
      </c>
      <c r="AC37" s="81" t="s">
        <v>235</v>
      </c>
      <c r="AD37" s="84" t="s">
        <v>64</v>
      </c>
      <c r="AE37" s="84" t="s">
        <v>2023</v>
      </c>
      <c r="AF37" s="84" t="s">
        <v>156</v>
      </c>
      <c r="AG37" s="84" t="s">
        <v>91</v>
      </c>
      <c r="AH37" s="84" t="s">
        <v>106</v>
      </c>
      <c r="AI37" s="84" t="s">
        <v>93</v>
      </c>
      <c r="AJ37" s="86">
        <v>1</v>
      </c>
      <c r="AK37" s="86">
        <v>1</v>
      </c>
      <c r="AL37" s="86">
        <v>1</v>
      </c>
      <c r="AM37" s="84" t="s">
        <v>2024</v>
      </c>
      <c r="AN37" s="84" t="s">
        <v>829</v>
      </c>
      <c r="AO37" s="84" t="s">
        <v>526</v>
      </c>
      <c r="AP37" s="68" t="s">
        <v>2227</v>
      </c>
      <c r="AQ37" s="84" t="s">
        <v>88</v>
      </c>
      <c r="AR37" s="114">
        <v>1</v>
      </c>
      <c r="AS37" s="86">
        <v>13</v>
      </c>
      <c r="AT37" s="86">
        <v>1</v>
      </c>
      <c r="AU37" s="90"/>
      <c r="AV37" s="88">
        <v>8.8888888888888892E-2</v>
      </c>
      <c r="AW37" s="84"/>
      <c r="AX37" s="84" t="s">
        <v>80</v>
      </c>
      <c r="AY37" s="114">
        <v>1</v>
      </c>
      <c r="AZ37" s="114">
        <v>1</v>
      </c>
      <c r="BA37" s="86">
        <v>6</v>
      </c>
      <c r="BB37" s="86">
        <v>5</v>
      </c>
      <c r="BC37" s="84"/>
      <c r="BD37" s="93" t="s">
        <v>124</v>
      </c>
      <c r="BE37" s="84" t="s">
        <v>182</v>
      </c>
      <c r="BF37" s="93" t="s">
        <v>386</v>
      </c>
      <c r="BG37" s="84" t="s">
        <v>21</v>
      </c>
      <c r="BH37" s="84" t="s">
        <v>81</v>
      </c>
      <c r="BI37" s="84" t="s">
        <v>365</v>
      </c>
      <c r="BJ37" s="89">
        <f t="shared" si="22"/>
        <v>11.25</v>
      </c>
      <c r="BK37" s="84">
        <v>135</v>
      </c>
      <c r="BL37" s="84">
        <v>135</v>
      </c>
      <c r="BM37" s="88">
        <v>11.25</v>
      </c>
      <c r="BN37" s="84" t="s">
        <v>389</v>
      </c>
      <c r="BO37" s="84" t="s">
        <v>382</v>
      </c>
      <c r="BP37" s="84" t="s">
        <v>64</v>
      </c>
      <c r="BQ37" s="84"/>
      <c r="BR37" s="81" t="s">
        <v>2032</v>
      </c>
      <c r="BS37" s="81" t="s">
        <v>2125</v>
      </c>
      <c r="BT37" s="84" t="s">
        <v>572</v>
      </c>
      <c r="BU37" s="86">
        <v>14.9</v>
      </c>
      <c r="BV37" s="86">
        <v>0.4</v>
      </c>
      <c r="BW37" s="90">
        <v>0.9797958971132712</v>
      </c>
      <c r="BX37" s="86">
        <v>6</v>
      </c>
      <c r="BY37" s="86">
        <v>6</v>
      </c>
      <c r="BZ37" s="84" t="s">
        <v>624</v>
      </c>
      <c r="CA37" s="84" t="s">
        <v>2028</v>
      </c>
      <c r="CB37" s="84" t="s">
        <v>80</v>
      </c>
      <c r="CC37" s="86">
        <v>18.2</v>
      </c>
      <c r="CD37" s="86">
        <v>0.5</v>
      </c>
      <c r="CE37" s="90">
        <v>1.2247448713915889</v>
      </c>
      <c r="CF37" s="86">
        <v>6</v>
      </c>
      <c r="CG37" s="86">
        <v>6</v>
      </c>
      <c r="CH37" s="84" t="s">
        <v>624</v>
      </c>
      <c r="CI37" s="84" t="s">
        <v>2028</v>
      </c>
      <c r="CJ37" s="84"/>
      <c r="CK37" s="86"/>
      <c r="CL37" s="86"/>
      <c r="CM37" s="86"/>
      <c r="CN37" s="86"/>
      <c r="CO37" s="86"/>
      <c r="CP37" s="84"/>
      <c r="CQ37" s="84"/>
      <c r="CR37" s="84"/>
      <c r="CS37" s="86"/>
      <c r="CT37" s="86"/>
      <c r="CU37" s="86"/>
      <c r="CV37" s="86"/>
      <c r="CW37" s="86"/>
      <c r="CX37" s="84"/>
      <c r="CY37" s="84"/>
      <c r="CZ37" s="84"/>
      <c r="DF37" s="84"/>
      <c r="DG37" s="84"/>
      <c r="DH37" s="84"/>
      <c r="DO37" s="84"/>
      <c r="DP37" s="84"/>
      <c r="DV37" s="84"/>
      <c r="DW37" s="84"/>
      <c r="DX37" s="84"/>
      <c r="DY37" s="86"/>
      <c r="DZ37" s="86"/>
      <c r="EA37" s="86"/>
      <c r="EB37" s="86"/>
      <c r="EC37" s="86"/>
      <c r="ED37" s="84"/>
      <c r="EE37" s="84"/>
      <c r="EF37" s="84"/>
      <c r="EG37" s="86"/>
      <c r="EH37" s="86"/>
      <c r="EI37" s="86"/>
      <c r="EJ37" s="86"/>
      <c r="EK37" s="86"/>
      <c r="EL37" s="84"/>
      <c r="EM37" s="84"/>
      <c r="EN37" s="86">
        <f t="shared" si="31"/>
        <v>14.9</v>
      </c>
      <c r="EO37" s="90">
        <f t="shared" si="32"/>
        <v>0.9797958971132712</v>
      </c>
      <c r="EP37" s="86">
        <f t="shared" si="33"/>
        <v>6</v>
      </c>
      <c r="EQ37" s="86">
        <f t="shared" si="34"/>
        <v>6</v>
      </c>
      <c r="ER37" s="86">
        <f t="shared" si="35"/>
        <v>18.2</v>
      </c>
      <c r="ES37" s="90">
        <f t="shared" si="36"/>
        <v>1.2247448713915889</v>
      </c>
      <c r="ET37" s="86">
        <f t="shared" si="37"/>
        <v>6</v>
      </c>
      <c r="EU37" s="86">
        <f t="shared" si="38"/>
        <v>6</v>
      </c>
      <c r="EV37" s="86">
        <f t="shared" si="39"/>
        <v>1.1090536506409416</v>
      </c>
      <c r="EW37" s="86">
        <f t="shared" si="40"/>
        <v>-2.9755097944025257</v>
      </c>
      <c r="EX37" s="86">
        <f t="shared" si="41"/>
        <v>0.70223577235772328</v>
      </c>
      <c r="EY37" s="86">
        <f t="shared" si="42"/>
        <v>0.92307692307692313</v>
      </c>
      <c r="EZ37" s="83">
        <f t="shared" si="43"/>
        <v>-2.7466244256023318</v>
      </c>
      <c r="FA37" s="83">
        <f t="shared" si="44"/>
        <v>0.59835474094385899</v>
      </c>
      <c r="FB37" s="83">
        <f t="shared" si="45"/>
        <v>12</v>
      </c>
      <c r="FC37" s="84" t="s">
        <v>385</v>
      </c>
    </row>
    <row r="38" spans="1:159" s="82" customFormat="1" ht="17.100000000000001" customHeight="1">
      <c r="A38" s="78" t="s">
        <v>2010</v>
      </c>
      <c r="B38" s="81" t="s">
        <v>1604</v>
      </c>
      <c r="C38" s="80" t="str">
        <f t="shared" si="10"/>
        <v>Elliott, K. J., Vose, J. M., &amp; Hendrick, R. L.  2009.  Long-term effects of high intensity prescribed fire on vegetation dynamics in the Wine Spring Creek watershed, western North Carolina, USA. Fire Ecology. 5: 66-85.</v>
      </c>
      <c r="D38" s="81" t="s">
        <v>2012</v>
      </c>
      <c r="E38" s="81">
        <v>2009</v>
      </c>
      <c r="F38" s="91" t="s">
        <v>2013</v>
      </c>
      <c r="G38" s="91" t="s">
        <v>2014</v>
      </c>
      <c r="H38" s="91">
        <v>5</v>
      </c>
      <c r="I38" s="92" t="s">
        <v>2015</v>
      </c>
      <c r="J38" s="81"/>
      <c r="K38" s="91" t="s">
        <v>2016</v>
      </c>
      <c r="L38" s="84" t="s">
        <v>2017</v>
      </c>
      <c r="M38" s="95" t="s">
        <v>73</v>
      </c>
      <c r="N38" s="84" t="s">
        <v>389</v>
      </c>
      <c r="O38" s="84"/>
      <c r="P38" s="91" t="s">
        <v>16</v>
      </c>
      <c r="Q38" s="91" t="s">
        <v>551</v>
      </c>
      <c r="R38" s="91" t="s">
        <v>2018</v>
      </c>
      <c r="S38" s="91" t="s">
        <v>2019</v>
      </c>
      <c r="T38" s="91" t="s">
        <v>2020</v>
      </c>
      <c r="U38" s="91" t="s">
        <v>2005</v>
      </c>
      <c r="V38" s="91">
        <v>35.25</v>
      </c>
      <c r="W38" s="91">
        <v>-83.58</v>
      </c>
      <c r="X38" s="81" t="s">
        <v>2021</v>
      </c>
      <c r="Y38" s="66" t="s">
        <v>1898</v>
      </c>
      <c r="Z38" s="66" t="s">
        <v>2202</v>
      </c>
      <c r="AA38" s="93" t="s">
        <v>97</v>
      </c>
      <c r="AB38" s="91" t="s">
        <v>2022</v>
      </c>
      <c r="AC38" s="81" t="s">
        <v>235</v>
      </c>
      <c r="AD38" s="84" t="s">
        <v>64</v>
      </c>
      <c r="AE38" s="84" t="s">
        <v>2033</v>
      </c>
      <c r="AF38" s="84" t="s">
        <v>156</v>
      </c>
      <c r="AG38" s="84" t="s">
        <v>91</v>
      </c>
      <c r="AH38" s="84" t="s">
        <v>106</v>
      </c>
      <c r="AI38" s="84" t="s">
        <v>93</v>
      </c>
      <c r="AJ38" s="86">
        <v>1</v>
      </c>
      <c r="AK38" s="86">
        <v>1</v>
      </c>
      <c r="AL38" s="86">
        <v>1</v>
      </c>
      <c r="AM38" s="84" t="s">
        <v>2024</v>
      </c>
      <c r="AN38" s="84" t="s">
        <v>829</v>
      </c>
      <c r="AO38" s="84" t="s">
        <v>526</v>
      </c>
      <c r="AP38" s="68" t="s">
        <v>2227</v>
      </c>
      <c r="AQ38" s="84" t="s">
        <v>88</v>
      </c>
      <c r="AR38" s="114">
        <v>1</v>
      </c>
      <c r="AS38" s="86">
        <v>6</v>
      </c>
      <c r="AT38" s="86">
        <v>1</v>
      </c>
      <c r="AU38" s="90"/>
      <c r="AV38" s="88">
        <v>8.8888888888888892E-2</v>
      </c>
      <c r="AW38" s="84"/>
      <c r="AX38" s="84" t="s">
        <v>80</v>
      </c>
      <c r="AY38" s="114">
        <v>1</v>
      </c>
      <c r="AZ38" s="114">
        <v>1</v>
      </c>
      <c r="BA38" s="86">
        <v>6</v>
      </c>
      <c r="BB38" s="86">
        <v>1</v>
      </c>
      <c r="BC38" s="84"/>
      <c r="BD38" s="93" t="s">
        <v>122</v>
      </c>
      <c r="BE38" s="84" t="s">
        <v>157</v>
      </c>
      <c r="BF38" s="93" t="s">
        <v>112</v>
      </c>
      <c r="BG38" s="84" t="s">
        <v>21</v>
      </c>
      <c r="BH38" s="84" t="s">
        <v>81</v>
      </c>
      <c r="BI38" s="84" t="s">
        <v>2025</v>
      </c>
      <c r="BJ38" s="89">
        <f t="shared" si="22"/>
        <v>11.25</v>
      </c>
      <c r="BK38" s="84">
        <v>135</v>
      </c>
      <c r="BL38" s="84">
        <v>135</v>
      </c>
      <c r="BM38" s="88">
        <v>11.25</v>
      </c>
      <c r="BN38" s="84" t="s">
        <v>389</v>
      </c>
      <c r="BO38" s="84" t="s">
        <v>382</v>
      </c>
      <c r="BP38" s="84" t="s">
        <v>64</v>
      </c>
      <c r="BQ38" s="84" t="s">
        <v>2026</v>
      </c>
      <c r="BR38" s="81" t="s">
        <v>2034</v>
      </c>
      <c r="BS38" s="81" t="s">
        <v>2175</v>
      </c>
      <c r="BT38" s="84" t="s">
        <v>572</v>
      </c>
      <c r="BU38" s="86">
        <v>1.04</v>
      </c>
      <c r="BV38" s="86">
        <v>0.23</v>
      </c>
      <c r="BW38" s="90">
        <v>0.5633826408401309</v>
      </c>
      <c r="BX38" s="86">
        <v>6</v>
      </c>
      <c r="BY38" s="86">
        <v>6</v>
      </c>
      <c r="BZ38" s="84" t="s">
        <v>216</v>
      </c>
      <c r="CA38" s="84" t="s">
        <v>2028</v>
      </c>
      <c r="CB38" s="84" t="s">
        <v>80</v>
      </c>
      <c r="CC38" s="86">
        <v>1.19</v>
      </c>
      <c r="CD38" s="86">
        <v>0.15</v>
      </c>
      <c r="CE38" s="90">
        <v>0.36742346141747667</v>
      </c>
      <c r="CF38" s="86">
        <v>6</v>
      </c>
      <c r="CG38" s="86">
        <v>6</v>
      </c>
      <c r="CH38" s="84" t="s">
        <v>216</v>
      </c>
      <c r="CI38" s="84" t="s">
        <v>2028</v>
      </c>
      <c r="CJ38" s="84"/>
      <c r="CK38" s="86"/>
      <c r="CL38" s="86"/>
      <c r="CM38" s="86"/>
      <c r="CN38" s="86"/>
      <c r="CO38" s="86"/>
      <c r="CP38" s="84"/>
      <c r="CQ38" s="84"/>
      <c r="CR38" s="84"/>
      <c r="CS38" s="86"/>
      <c r="CT38" s="86"/>
      <c r="CU38" s="86"/>
      <c r="CV38" s="86"/>
      <c r="CW38" s="86"/>
      <c r="CX38" s="84"/>
      <c r="CY38" s="84"/>
      <c r="CZ38" s="84"/>
      <c r="DF38" s="84"/>
      <c r="DG38" s="84"/>
      <c r="DH38" s="84"/>
      <c r="DO38" s="84"/>
      <c r="DP38" s="84"/>
      <c r="DV38" s="84"/>
      <c r="DW38" s="84"/>
      <c r="DX38" s="84"/>
      <c r="DY38" s="86"/>
      <c r="DZ38" s="86"/>
      <c r="EA38" s="86"/>
      <c r="EB38" s="86"/>
      <c r="EC38" s="86"/>
      <c r="ED38" s="84"/>
      <c r="EE38" s="84"/>
      <c r="EF38" s="84"/>
      <c r="EG38" s="86"/>
      <c r="EH38" s="86"/>
      <c r="EI38" s="86"/>
      <c r="EJ38" s="86"/>
      <c r="EK38" s="86"/>
      <c r="EL38" s="84"/>
      <c r="EM38" s="84"/>
      <c r="EN38" s="86">
        <f t="shared" si="31"/>
        <v>1.04</v>
      </c>
      <c r="EO38" s="90">
        <f t="shared" si="32"/>
        <v>0.5633826408401309</v>
      </c>
      <c r="EP38" s="86">
        <f t="shared" si="33"/>
        <v>6</v>
      </c>
      <c r="EQ38" s="86">
        <f t="shared" si="34"/>
        <v>6</v>
      </c>
      <c r="ER38" s="86">
        <f t="shared" si="35"/>
        <v>1.19</v>
      </c>
      <c r="ES38" s="90">
        <f t="shared" si="36"/>
        <v>0.36742346141747667</v>
      </c>
      <c r="ET38" s="86">
        <f t="shared" si="37"/>
        <v>6</v>
      </c>
      <c r="EU38" s="86">
        <f t="shared" si="38"/>
        <v>6</v>
      </c>
      <c r="EV38" s="86">
        <f t="shared" si="39"/>
        <v>0.47560487802376455</v>
      </c>
      <c r="EW38" s="86">
        <f t="shared" si="40"/>
        <v>-0.31538785014838483</v>
      </c>
      <c r="EX38" s="86">
        <f t="shared" si="41"/>
        <v>0.33747789566755082</v>
      </c>
      <c r="EY38" s="86">
        <f t="shared" si="42"/>
        <v>0.92307692307692313</v>
      </c>
      <c r="EZ38" s="83">
        <f t="shared" si="43"/>
        <v>-0.29112724629081677</v>
      </c>
      <c r="FA38" s="83">
        <f t="shared" si="44"/>
        <v>0.28755513003625638</v>
      </c>
      <c r="FB38" s="83">
        <f t="shared" si="45"/>
        <v>12</v>
      </c>
      <c r="FC38" s="84" t="s">
        <v>385</v>
      </c>
    </row>
    <row r="39" spans="1:159" s="82" customFormat="1" ht="17.100000000000001" customHeight="1">
      <c r="A39" s="78" t="s">
        <v>2010</v>
      </c>
      <c r="B39" s="81" t="s">
        <v>1604</v>
      </c>
      <c r="C39" s="80" t="str">
        <f t="shared" si="10"/>
        <v>Elliott, K. J., Vose, J. M., &amp; Hendrick, R. L.  2009.  Long-term effects of high intensity prescribed fire on vegetation dynamics in the Wine Spring Creek watershed, western North Carolina, USA. Fire Ecology. 5: 66-85.</v>
      </c>
      <c r="D39" s="81" t="s">
        <v>2012</v>
      </c>
      <c r="E39" s="81">
        <v>2009</v>
      </c>
      <c r="F39" s="91" t="s">
        <v>2013</v>
      </c>
      <c r="G39" s="91" t="s">
        <v>2014</v>
      </c>
      <c r="H39" s="91">
        <v>5</v>
      </c>
      <c r="I39" s="92" t="s">
        <v>2015</v>
      </c>
      <c r="J39" s="81"/>
      <c r="K39" s="91" t="s">
        <v>2016</v>
      </c>
      <c r="L39" s="84" t="s">
        <v>2017</v>
      </c>
      <c r="M39" s="95" t="s">
        <v>73</v>
      </c>
      <c r="N39" s="84" t="s">
        <v>389</v>
      </c>
      <c r="O39" s="84"/>
      <c r="P39" s="91" t="s">
        <v>16</v>
      </c>
      <c r="Q39" s="91" t="s">
        <v>551</v>
      </c>
      <c r="R39" s="91" t="s">
        <v>2018</v>
      </c>
      <c r="S39" s="91" t="s">
        <v>2019</v>
      </c>
      <c r="T39" s="91" t="s">
        <v>2020</v>
      </c>
      <c r="U39" s="91" t="s">
        <v>2005</v>
      </c>
      <c r="V39" s="91">
        <v>35.25</v>
      </c>
      <c r="W39" s="91">
        <v>-83.58</v>
      </c>
      <c r="X39" s="81" t="s">
        <v>2021</v>
      </c>
      <c r="Y39" s="66" t="s">
        <v>1898</v>
      </c>
      <c r="Z39" s="66" t="s">
        <v>2202</v>
      </c>
      <c r="AA39" s="93" t="s">
        <v>97</v>
      </c>
      <c r="AB39" s="91" t="s">
        <v>2022</v>
      </c>
      <c r="AC39" s="81" t="s">
        <v>235</v>
      </c>
      <c r="AD39" s="84" t="s">
        <v>64</v>
      </c>
      <c r="AE39" s="84" t="s">
        <v>2033</v>
      </c>
      <c r="AF39" s="84" t="s">
        <v>156</v>
      </c>
      <c r="AG39" s="84" t="s">
        <v>91</v>
      </c>
      <c r="AH39" s="84" t="s">
        <v>106</v>
      </c>
      <c r="AI39" s="84" t="s">
        <v>93</v>
      </c>
      <c r="AJ39" s="115">
        <v>1</v>
      </c>
      <c r="AK39" s="86">
        <v>1</v>
      </c>
      <c r="AL39" s="86">
        <v>1</v>
      </c>
      <c r="AM39" s="84" t="s">
        <v>2024</v>
      </c>
      <c r="AN39" s="84" t="s">
        <v>829</v>
      </c>
      <c r="AO39" s="84" t="s">
        <v>526</v>
      </c>
      <c r="AP39" s="68" t="s">
        <v>2227</v>
      </c>
      <c r="AQ39" s="84" t="s">
        <v>88</v>
      </c>
      <c r="AR39" s="114">
        <v>1</v>
      </c>
      <c r="AS39" s="86">
        <v>6</v>
      </c>
      <c r="AT39" s="86">
        <v>1</v>
      </c>
      <c r="AU39" s="90"/>
      <c r="AV39" s="88">
        <v>8.8888888888888892E-2</v>
      </c>
      <c r="AW39" s="84"/>
      <c r="AX39" s="84" t="s">
        <v>80</v>
      </c>
      <c r="AY39" s="114">
        <v>1</v>
      </c>
      <c r="AZ39" s="114">
        <v>1</v>
      </c>
      <c r="BA39" s="86">
        <v>6</v>
      </c>
      <c r="BB39" s="86">
        <v>1</v>
      </c>
      <c r="BC39" s="84"/>
      <c r="BD39" s="93" t="s">
        <v>122</v>
      </c>
      <c r="BE39" s="84" t="s">
        <v>157</v>
      </c>
      <c r="BF39" s="93" t="s">
        <v>110</v>
      </c>
      <c r="BG39" s="84" t="s">
        <v>21</v>
      </c>
      <c r="BH39" s="84" t="s">
        <v>81</v>
      </c>
      <c r="BI39" s="84" t="s">
        <v>2025</v>
      </c>
      <c r="BJ39" s="89">
        <f t="shared" si="22"/>
        <v>11.25</v>
      </c>
      <c r="BK39" s="84">
        <v>135</v>
      </c>
      <c r="BL39" s="84">
        <v>135</v>
      </c>
      <c r="BM39" s="88">
        <v>11.25</v>
      </c>
      <c r="BN39" s="84" t="s">
        <v>389</v>
      </c>
      <c r="BO39" s="84" t="s">
        <v>382</v>
      </c>
      <c r="BP39" s="84" t="s">
        <v>64</v>
      </c>
      <c r="BQ39" s="84" t="s">
        <v>2026</v>
      </c>
      <c r="BR39" s="81" t="s">
        <v>2029</v>
      </c>
      <c r="BS39" s="81" t="s">
        <v>388</v>
      </c>
      <c r="BT39" s="84" t="s">
        <v>572</v>
      </c>
      <c r="BU39" s="86">
        <v>0.7</v>
      </c>
      <c r="BV39" s="86">
        <v>0.19</v>
      </c>
      <c r="BW39" s="90">
        <v>0.46540305112880381</v>
      </c>
      <c r="BX39" s="86">
        <v>6</v>
      </c>
      <c r="BY39" s="86">
        <v>6</v>
      </c>
      <c r="BZ39" s="84" t="s">
        <v>40</v>
      </c>
      <c r="CA39" s="84" t="s">
        <v>2028</v>
      </c>
      <c r="CB39" s="84" t="s">
        <v>80</v>
      </c>
      <c r="CC39" s="86">
        <v>0.78</v>
      </c>
      <c r="CD39" s="86">
        <v>0.11</v>
      </c>
      <c r="CE39" s="90">
        <v>0.26944387170614958</v>
      </c>
      <c r="CF39" s="86">
        <v>6</v>
      </c>
      <c r="CG39" s="86">
        <v>6</v>
      </c>
      <c r="CH39" s="84" t="s">
        <v>40</v>
      </c>
      <c r="CI39" s="84" t="s">
        <v>2028</v>
      </c>
      <c r="CJ39" s="84"/>
      <c r="CK39" s="86"/>
      <c r="CL39" s="86"/>
      <c r="CM39" s="86"/>
      <c r="CN39" s="86"/>
      <c r="CO39" s="86"/>
      <c r="CP39" s="84"/>
      <c r="CQ39" s="84"/>
      <c r="CR39" s="84"/>
      <c r="CS39" s="86"/>
      <c r="CT39" s="86"/>
      <c r="CU39" s="86"/>
      <c r="CV39" s="86"/>
      <c r="CW39" s="86"/>
      <c r="CX39" s="84"/>
      <c r="CY39" s="84"/>
      <c r="CZ39" s="84"/>
      <c r="DF39" s="84"/>
      <c r="DG39" s="84"/>
      <c r="DH39" s="84"/>
      <c r="DO39" s="84"/>
      <c r="DP39" s="84"/>
      <c r="DV39" s="84"/>
      <c r="DW39" s="84"/>
      <c r="DX39" s="84"/>
      <c r="DY39" s="86"/>
      <c r="DZ39" s="86"/>
      <c r="EA39" s="86"/>
      <c r="EB39" s="86"/>
      <c r="EC39" s="86"/>
      <c r="ED39" s="84"/>
      <c r="EE39" s="84"/>
      <c r="EF39" s="84"/>
      <c r="EG39" s="86"/>
      <c r="EH39" s="86"/>
      <c r="EI39" s="86"/>
      <c r="EJ39" s="86"/>
      <c r="EK39" s="86"/>
      <c r="EL39" s="84"/>
      <c r="EM39" s="84"/>
      <c r="EN39" s="86">
        <f t="shared" si="31"/>
        <v>0.7</v>
      </c>
      <c r="EO39" s="90">
        <f t="shared" si="32"/>
        <v>0.46540305112880381</v>
      </c>
      <c r="EP39" s="86">
        <f t="shared" si="33"/>
        <v>6</v>
      </c>
      <c r="EQ39" s="86">
        <f t="shared" si="34"/>
        <v>6</v>
      </c>
      <c r="ER39" s="86">
        <f t="shared" si="35"/>
        <v>0.78</v>
      </c>
      <c r="ES39" s="90">
        <f t="shared" si="36"/>
        <v>0.26944387170614958</v>
      </c>
      <c r="ET39" s="86">
        <f t="shared" si="37"/>
        <v>6</v>
      </c>
      <c r="EU39" s="86">
        <f t="shared" si="38"/>
        <v>6</v>
      </c>
      <c r="EV39" s="86">
        <f t="shared" si="39"/>
        <v>0.38026306683663086</v>
      </c>
      <c r="EW39" s="86">
        <f t="shared" si="40"/>
        <v>-0.210380673215287</v>
      </c>
      <c r="EX39" s="86">
        <f t="shared" si="41"/>
        <v>0.33517750115260486</v>
      </c>
      <c r="EY39" s="86">
        <f t="shared" si="42"/>
        <v>0.92307692307692313</v>
      </c>
      <c r="EZ39" s="83">
        <f t="shared" si="43"/>
        <v>-0.19419754450641877</v>
      </c>
      <c r="FA39" s="83">
        <f t="shared" si="44"/>
        <v>0.28559503056790003</v>
      </c>
      <c r="FB39" s="83">
        <f t="shared" si="45"/>
        <v>12</v>
      </c>
      <c r="FC39" s="84" t="s">
        <v>385</v>
      </c>
    </row>
    <row r="40" spans="1:159" s="82" customFormat="1" ht="17.100000000000001" customHeight="1">
      <c r="A40" s="78" t="s">
        <v>2010</v>
      </c>
      <c r="B40" s="81" t="s">
        <v>1604</v>
      </c>
      <c r="C40" s="80" t="str">
        <f t="shared" si="10"/>
        <v>Elliott, K. J., Vose, J. M., &amp; Hendrick, R. L.  2009.  Long-term effects of high intensity prescribed fire on vegetation dynamics in the Wine Spring Creek watershed, western North Carolina, USA. Fire Ecology. 5: 66-85.</v>
      </c>
      <c r="D40" s="81" t="s">
        <v>2012</v>
      </c>
      <c r="E40" s="81">
        <v>2009</v>
      </c>
      <c r="F40" s="91" t="s">
        <v>2013</v>
      </c>
      <c r="G40" s="91" t="s">
        <v>2014</v>
      </c>
      <c r="H40" s="91">
        <v>5</v>
      </c>
      <c r="I40" s="92" t="s">
        <v>2015</v>
      </c>
      <c r="J40" s="81"/>
      <c r="K40" s="91" t="s">
        <v>2016</v>
      </c>
      <c r="L40" s="84" t="s">
        <v>2017</v>
      </c>
      <c r="M40" s="95" t="s">
        <v>73</v>
      </c>
      <c r="N40" s="84" t="s">
        <v>389</v>
      </c>
      <c r="O40" s="84"/>
      <c r="P40" s="91" t="s">
        <v>16</v>
      </c>
      <c r="Q40" s="91" t="s">
        <v>551</v>
      </c>
      <c r="R40" s="91" t="s">
        <v>2018</v>
      </c>
      <c r="S40" s="91" t="s">
        <v>2019</v>
      </c>
      <c r="T40" s="91" t="s">
        <v>2020</v>
      </c>
      <c r="U40" s="91" t="s">
        <v>2005</v>
      </c>
      <c r="V40" s="91">
        <v>35.25</v>
      </c>
      <c r="W40" s="91">
        <v>-83.58</v>
      </c>
      <c r="X40" s="81" t="s">
        <v>2021</v>
      </c>
      <c r="Y40" s="66" t="s">
        <v>1898</v>
      </c>
      <c r="Z40" s="66" t="s">
        <v>2202</v>
      </c>
      <c r="AA40" s="93" t="s">
        <v>97</v>
      </c>
      <c r="AB40" s="91" t="s">
        <v>2022</v>
      </c>
      <c r="AC40" s="81" t="s">
        <v>235</v>
      </c>
      <c r="AD40" s="84" t="s">
        <v>64</v>
      </c>
      <c r="AE40" s="84" t="s">
        <v>2033</v>
      </c>
      <c r="AF40" s="84" t="s">
        <v>156</v>
      </c>
      <c r="AG40" s="84" t="s">
        <v>91</v>
      </c>
      <c r="AH40" s="84" t="s">
        <v>106</v>
      </c>
      <c r="AI40" s="84" t="s">
        <v>93</v>
      </c>
      <c r="AJ40" s="115">
        <v>1</v>
      </c>
      <c r="AK40" s="115">
        <v>1</v>
      </c>
      <c r="AL40" s="115">
        <v>1</v>
      </c>
      <c r="AM40" s="84" t="s">
        <v>2024</v>
      </c>
      <c r="AN40" s="84" t="s">
        <v>829</v>
      </c>
      <c r="AO40" s="84" t="s">
        <v>526</v>
      </c>
      <c r="AP40" s="68" t="s">
        <v>2227</v>
      </c>
      <c r="AQ40" s="84" t="s">
        <v>88</v>
      </c>
      <c r="AR40" s="114">
        <v>1</v>
      </c>
      <c r="AS40" s="86">
        <v>6</v>
      </c>
      <c r="AT40" s="86">
        <v>1</v>
      </c>
      <c r="AU40" s="90"/>
      <c r="AV40" s="88">
        <v>8.8888888888888892E-2</v>
      </c>
      <c r="AW40" s="84"/>
      <c r="AX40" s="84" t="s">
        <v>80</v>
      </c>
      <c r="AY40" s="114">
        <v>1</v>
      </c>
      <c r="AZ40" s="114">
        <v>1</v>
      </c>
      <c r="BA40" s="86">
        <v>6</v>
      </c>
      <c r="BB40" s="86">
        <v>1</v>
      </c>
      <c r="BC40" s="84"/>
      <c r="BD40" s="93" t="s">
        <v>124</v>
      </c>
      <c r="BE40" s="84" t="s">
        <v>182</v>
      </c>
      <c r="BF40" s="93" t="s">
        <v>110</v>
      </c>
      <c r="BG40" s="84" t="s">
        <v>21</v>
      </c>
      <c r="BH40" s="84" t="s">
        <v>81</v>
      </c>
      <c r="BI40" s="84" t="s">
        <v>2025</v>
      </c>
      <c r="BJ40" s="89">
        <f t="shared" si="22"/>
        <v>11.25</v>
      </c>
      <c r="BK40" s="84">
        <v>135</v>
      </c>
      <c r="BL40" s="84">
        <v>135</v>
      </c>
      <c r="BM40" s="88">
        <v>11.25</v>
      </c>
      <c r="BN40" s="84" t="s">
        <v>389</v>
      </c>
      <c r="BO40" s="84" t="s">
        <v>382</v>
      </c>
      <c r="BP40" s="84" t="s">
        <v>64</v>
      </c>
      <c r="BQ40" s="84"/>
      <c r="BR40" s="81" t="s">
        <v>2035</v>
      </c>
      <c r="BS40" s="81" t="s">
        <v>388</v>
      </c>
      <c r="BT40" s="84" t="s">
        <v>572</v>
      </c>
      <c r="BU40" s="86">
        <v>4.2</v>
      </c>
      <c r="BV40" s="86">
        <v>0.3</v>
      </c>
      <c r="BW40" s="90">
        <v>0.73484692283495334</v>
      </c>
      <c r="BX40" s="86">
        <v>6</v>
      </c>
      <c r="BY40" s="86">
        <v>6</v>
      </c>
      <c r="BZ40" s="84" t="s">
        <v>40</v>
      </c>
      <c r="CA40" s="84" t="s">
        <v>2028</v>
      </c>
      <c r="CB40" s="84" t="s">
        <v>80</v>
      </c>
      <c r="CC40" s="86">
        <v>4</v>
      </c>
      <c r="CD40" s="86">
        <v>0.7</v>
      </c>
      <c r="CE40" s="90">
        <v>1.7146428199482244</v>
      </c>
      <c r="CF40" s="86">
        <v>6</v>
      </c>
      <c r="CG40" s="86">
        <v>6</v>
      </c>
      <c r="CH40" s="84" t="s">
        <v>40</v>
      </c>
      <c r="CI40" s="84" t="s">
        <v>2028</v>
      </c>
      <c r="CJ40" s="84"/>
      <c r="CK40" s="86"/>
      <c r="CL40" s="86"/>
      <c r="CM40" s="86"/>
      <c r="CN40" s="86"/>
      <c r="CO40" s="86"/>
      <c r="CP40" s="84"/>
      <c r="CQ40" s="84"/>
      <c r="CR40" s="84"/>
      <c r="CS40" s="86"/>
      <c r="CT40" s="86"/>
      <c r="CU40" s="86"/>
      <c r="CV40" s="86"/>
      <c r="CW40" s="86"/>
      <c r="CX40" s="84"/>
      <c r="CY40" s="84"/>
      <c r="CZ40" s="84"/>
      <c r="DF40" s="84"/>
      <c r="DG40" s="84"/>
      <c r="DH40" s="84"/>
      <c r="DO40" s="84"/>
      <c r="DP40" s="84"/>
      <c r="DV40" s="84"/>
      <c r="DW40" s="84"/>
      <c r="DX40" s="84"/>
      <c r="DY40" s="86"/>
      <c r="DZ40" s="86"/>
      <c r="EA40" s="86"/>
      <c r="EB40" s="86"/>
      <c r="EC40" s="86"/>
      <c r="ED40" s="84"/>
      <c r="EE40" s="84"/>
      <c r="EF40" s="84"/>
      <c r="EG40" s="86"/>
      <c r="EH40" s="86"/>
      <c r="EI40" s="86"/>
      <c r="EJ40" s="86"/>
      <c r="EK40" s="86"/>
      <c r="EL40" s="84"/>
      <c r="EM40" s="84"/>
      <c r="EN40" s="86">
        <f t="shared" si="31"/>
        <v>4.2</v>
      </c>
      <c r="EO40" s="90">
        <f t="shared" si="32"/>
        <v>0.73484692283495334</v>
      </c>
      <c r="EP40" s="86">
        <f t="shared" si="33"/>
        <v>6</v>
      </c>
      <c r="EQ40" s="86">
        <f t="shared" si="34"/>
        <v>6</v>
      </c>
      <c r="ER40" s="86">
        <f t="shared" si="35"/>
        <v>4</v>
      </c>
      <c r="ES40" s="90">
        <f t="shared" si="36"/>
        <v>1.7146428199482244</v>
      </c>
      <c r="ET40" s="86">
        <f t="shared" si="37"/>
        <v>6</v>
      </c>
      <c r="EU40" s="86">
        <f t="shared" si="38"/>
        <v>6</v>
      </c>
      <c r="EV40" s="86">
        <f t="shared" si="39"/>
        <v>1.3190905958272918</v>
      </c>
      <c r="EW40" s="86">
        <f t="shared" si="40"/>
        <v>0.15161960871578081</v>
      </c>
      <c r="EX40" s="86">
        <f t="shared" si="41"/>
        <v>0.33429118773946359</v>
      </c>
      <c r="EY40" s="86">
        <f t="shared" si="42"/>
        <v>0.92307692307692313</v>
      </c>
      <c r="EZ40" s="83">
        <f t="shared" si="43"/>
        <v>0.13995656189149</v>
      </c>
      <c r="FA40" s="83">
        <f t="shared" si="44"/>
        <v>0.28483982860640689</v>
      </c>
      <c r="FB40" s="83">
        <f t="shared" si="45"/>
        <v>12</v>
      </c>
      <c r="FC40" s="84" t="s">
        <v>385</v>
      </c>
    </row>
    <row r="41" spans="1:159" s="82" customFormat="1" ht="17.100000000000001" customHeight="1">
      <c r="A41" s="78" t="s">
        <v>2010</v>
      </c>
      <c r="B41" s="81" t="s">
        <v>1605</v>
      </c>
      <c r="C41" s="80" t="str">
        <f t="shared" si="10"/>
        <v>Elliott, K. J., Vose, J. M., &amp; Hendrick, R. L.  2009.  Long-term effects of high intensity prescribed fire on vegetation dynamics in the Wine Spring Creek watershed, western North Carolina, USA. Fire Ecology. 5: 66-85.</v>
      </c>
      <c r="D41" s="81" t="s">
        <v>2012</v>
      </c>
      <c r="E41" s="81">
        <v>2009</v>
      </c>
      <c r="F41" s="91" t="s">
        <v>2013</v>
      </c>
      <c r="G41" s="91" t="s">
        <v>2014</v>
      </c>
      <c r="H41" s="91">
        <v>5</v>
      </c>
      <c r="I41" s="92" t="s">
        <v>2015</v>
      </c>
      <c r="J41" s="81"/>
      <c r="K41" s="91" t="s">
        <v>2016</v>
      </c>
      <c r="L41" s="84" t="s">
        <v>2017</v>
      </c>
      <c r="M41" s="95" t="s">
        <v>73</v>
      </c>
      <c r="N41" s="84" t="s">
        <v>389</v>
      </c>
      <c r="O41" s="84"/>
      <c r="P41" s="91" t="s">
        <v>16</v>
      </c>
      <c r="Q41" s="91" t="s">
        <v>551</v>
      </c>
      <c r="R41" s="91" t="s">
        <v>2018</v>
      </c>
      <c r="S41" s="91" t="s">
        <v>2019</v>
      </c>
      <c r="T41" s="91" t="s">
        <v>2020</v>
      </c>
      <c r="U41" s="91" t="s">
        <v>2005</v>
      </c>
      <c r="V41" s="91">
        <v>35.25</v>
      </c>
      <c r="W41" s="91">
        <v>-83.58</v>
      </c>
      <c r="X41" s="81" t="s">
        <v>2021</v>
      </c>
      <c r="Y41" s="66" t="s">
        <v>1898</v>
      </c>
      <c r="Z41" s="66" t="s">
        <v>2202</v>
      </c>
      <c r="AA41" s="93" t="s">
        <v>97</v>
      </c>
      <c r="AB41" s="91" t="s">
        <v>2022</v>
      </c>
      <c r="AC41" s="81" t="s">
        <v>235</v>
      </c>
      <c r="AD41" s="84" t="s">
        <v>64</v>
      </c>
      <c r="AE41" s="84" t="s">
        <v>2036</v>
      </c>
      <c r="AF41" s="84" t="s">
        <v>156</v>
      </c>
      <c r="AG41" s="84" t="s">
        <v>91</v>
      </c>
      <c r="AH41" s="84" t="s">
        <v>106</v>
      </c>
      <c r="AI41" s="84" t="s">
        <v>93</v>
      </c>
      <c r="AJ41" s="115">
        <v>1</v>
      </c>
      <c r="AK41" s="115">
        <v>1</v>
      </c>
      <c r="AL41" s="115">
        <v>1</v>
      </c>
      <c r="AM41" s="84" t="s">
        <v>2024</v>
      </c>
      <c r="AN41" s="84" t="s">
        <v>829</v>
      </c>
      <c r="AO41" s="84" t="s">
        <v>526</v>
      </c>
      <c r="AP41" s="68" t="s">
        <v>2227</v>
      </c>
      <c r="AQ41" s="84" t="s">
        <v>88</v>
      </c>
      <c r="AR41" s="114">
        <v>1</v>
      </c>
      <c r="AS41" s="86">
        <v>6</v>
      </c>
      <c r="AT41" s="86">
        <v>6</v>
      </c>
      <c r="AU41" s="90"/>
      <c r="AV41" s="88">
        <v>8.8888888888888892E-2</v>
      </c>
      <c r="AW41" s="84"/>
      <c r="AX41" s="84" t="s">
        <v>80</v>
      </c>
      <c r="AY41" s="114">
        <v>1</v>
      </c>
      <c r="AZ41" s="114">
        <v>1</v>
      </c>
      <c r="BA41" s="86">
        <v>6</v>
      </c>
      <c r="BB41" s="86">
        <v>1</v>
      </c>
      <c r="BC41" s="84"/>
      <c r="BD41" s="93" t="s">
        <v>122</v>
      </c>
      <c r="BE41" s="84" t="s">
        <v>157</v>
      </c>
      <c r="BF41" s="93" t="s">
        <v>112</v>
      </c>
      <c r="BG41" s="84" t="s">
        <v>21</v>
      </c>
      <c r="BH41" s="84" t="s">
        <v>81</v>
      </c>
      <c r="BI41" s="84" t="s">
        <v>2025</v>
      </c>
      <c r="BJ41" s="89">
        <f t="shared" si="22"/>
        <v>11.25</v>
      </c>
      <c r="BK41" s="84">
        <v>135</v>
      </c>
      <c r="BL41" s="84">
        <v>135</v>
      </c>
      <c r="BM41" s="88">
        <v>11.25</v>
      </c>
      <c r="BN41" s="84" t="s">
        <v>389</v>
      </c>
      <c r="BO41" s="84" t="s">
        <v>382</v>
      </c>
      <c r="BP41" s="84" t="s">
        <v>64</v>
      </c>
      <c r="BQ41" s="84" t="s">
        <v>2026</v>
      </c>
      <c r="BR41" s="81" t="s">
        <v>2034</v>
      </c>
      <c r="BS41" s="81" t="s">
        <v>2175</v>
      </c>
      <c r="BT41" s="84" t="s">
        <v>572</v>
      </c>
      <c r="BU41" s="86">
        <v>1.21</v>
      </c>
      <c r="BV41" s="86">
        <v>0.16</v>
      </c>
      <c r="BW41" s="90">
        <v>0.39191835884530846</v>
      </c>
      <c r="BX41" s="86">
        <v>6</v>
      </c>
      <c r="BY41" s="86">
        <v>6</v>
      </c>
      <c r="BZ41" s="84" t="s">
        <v>216</v>
      </c>
      <c r="CA41" s="84" t="s">
        <v>2028</v>
      </c>
      <c r="CB41" s="84" t="s">
        <v>80</v>
      </c>
      <c r="CC41" s="86">
        <v>1.33</v>
      </c>
      <c r="CD41" s="86">
        <v>0.16</v>
      </c>
      <c r="CE41" s="90">
        <v>0.39191835884530846</v>
      </c>
      <c r="CF41" s="86">
        <v>6</v>
      </c>
      <c r="CG41" s="86">
        <v>6</v>
      </c>
      <c r="CH41" s="84" t="s">
        <v>216</v>
      </c>
      <c r="CI41" s="84" t="s">
        <v>2028</v>
      </c>
      <c r="CJ41" s="84"/>
      <c r="CK41" s="86"/>
      <c r="CL41" s="86"/>
      <c r="CM41" s="86"/>
      <c r="CN41" s="86"/>
      <c r="CO41" s="86"/>
      <c r="CP41" s="84"/>
      <c r="CQ41" s="84"/>
      <c r="CR41" s="84"/>
      <c r="CS41" s="86"/>
      <c r="CT41" s="86"/>
      <c r="CU41" s="86"/>
      <c r="CV41" s="86"/>
      <c r="CW41" s="86"/>
      <c r="CX41" s="84"/>
      <c r="CY41" s="84"/>
      <c r="CZ41" s="84"/>
      <c r="DF41" s="84"/>
      <c r="DG41" s="84"/>
      <c r="DH41" s="84"/>
      <c r="DO41" s="84"/>
      <c r="DP41" s="84"/>
      <c r="DV41" s="84"/>
      <c r="DW41" s="84"/>
      <c r="DX41" s="84"/>
      <c r="DY41" s="86"/>
      <c r="DZ41" s="86"/>
      <c r="EA41" s="86"/>
      <c r="EB41" s="86"/>
      <c r="EC41" s="86"/>
      <c r="ED41" s="84"/>
      <c r="EE41" s="84"/>
      <c r="EF41" s="84"/>
      <c r="EG41" s="86"/>
      <c r="EH41" s="86"/>
      <c r="EI41" s="86"/>
      <c r="EJ41" s="86"/>
      <c r="EK41" s="86"/>
      <c r="EL41" s="84"/>
      <c r="EM41" s="84"/>
      <c r="EN41" s="86">
        <f t="shared" si="31"/>
        <v>1.21</v>
      </c>
      <c r="EO41" s="90">
        <f t="shared" si="32"/>
        <v>0.39191835884530846</v>
      </c>
      <c r="EP41" s="86">
        <f t="shared" si="33"/>
        <v>6</v>
      </c>
      <c r="EQ41" s="86">
        <f t="shared" si="34"/>
        <v>6</v>
      </c>
      <c r="ER41" s="86">
        <f t="shared" si="35"/>
        <v>1.33</v>
      </c>
      <c r="ES41" s="90">
        <f t="shared" si="36"/>
        <v>0.39191835884530846</v>
      </c>
      <c r="ET41" s="86">
        <f t="shared" si="37"/>
        <v>6</v>
      </c>
      <c r="EU41" s="86">
        <f t="shared" si="38"/>
        <v>6</v>
      </c>
      <c r="EV41" s="86">
        <f t="shared" si="39"/>
        <v>0.39191835884530846</v>
      </c>
      <c r="EW41" s="86">
        <f t="shared" si="40"/>
        <v>-0.30618621784789757</v>
      </c>
      <c r="EX41" s="86">
        <f t="shared" si="41"/>
        <v>0.33723958333333331</v>
      </c>
      <c r="EY41" s="86">
        <f t="shared" si="42"/>
        <v>0.92307692307692313</v>
      </c>
      <c r="EZ41" s="83">
        <f t="shared" si="43"/>
        <v>-0.28263343185959777</v>
      </c>
      <c r="FA41" s="83">
        <f t="shared" si="44"/>
        <v>0.2873520710059172</v>
      </c>
      <c r="FB41" s="83">
        <f t="shared" si="45"/>
        <v>12</v>
      </c>
      <c r="FC41" s="84" t="s">
        <v>385</v>
      </c>
    </row>
    <row r="42" spans="1:159" s="82" customFormat="1" ht="17.100000000000001" customHeight="1">
      <c r="A42" s="78" t="s">
        <v>2010</v>
      </c>
      <c r="B42" s="81" t="s">
        <v>1605</v>
      </c>
      <c r="C42" s="80" t="str">
        <f t="shared" si="10"/>
        <v>Elliott, K. J., Vose, J. M., &amp; Hendrick, R. L.  2009.  Long-term effects of high intensity prescribed fire on vegetation dynamics in the Wine Spring Creek watershed, western North Carolina, USA. Fire Ecology. 5: 66-85.</v>
      </c>
      <c r="D42" s="81" t="s">
        <v>2012</v>
      </c>
      <c r="E42" s="81">
        <v>2009</v>
      </c>
      <c r="F42" s="91" t="s">
        <v>2013</v>
      </c>
      <c r="G42" s="91" t="s">
        <v>2014</v>
      </c>
      <c r="H42" s="91">
        <v>5</v>
      </c>
      <c r="I42" s="92" t="s">
        <v>2015</v>
      </c>
      <c r="J42" s="81"/>
      <c r="K42" s="91" t="s">
        <v>2016</v>
      </c>
      <c r="L42" s="84" t="s">
        <v>2017</v>
      </c>
      <c r="M42" s="95" t="s">
        <v>73</v>
      </c>
      <c r="N42" s="84" t="s">
        <v>389</v>
      </c>
      <c r="O42" s="84"/>
      <c r="P42" s="91" t="s">
        <v>16</v>
      </c>
      <c r="Q42" s="91" t="s">
        <v>551</v>
      </c>
      <c r="R42" s="91" t="s">
        <v>2018</v>
      </c>
      <c r="S42" s="91" t="s">
        <v>2019</v>
      </c>
      <c r="T42" s="91" t="s">
        <v>2020</v>
      </c>
      <c r="U42" s="91" t="s">
        <v>2005</v>
      </c>
      <c r="V42" s="91">
        <v>35.25</v>
      </c>
      <c r="W42" s="91">
        <v>-83.58</v>
      </c>
      <c r="X42" s="81" t="s">
        <v>2021</v>
      </c>
      <c r="Y42" s="66" t="s">
        <v>1898</v>
      </c>
      <c r="Z42" s="66" t="s">
        <v>2202</v>
      </c>
      <c r="AA42" s="93" t="s">
        <v>97</v>
      </c>
      <c r="AB42" s="91" t="s">
        <v>2022</v>
      </c>
      <c r="AC42" s="81" t="s">
        <v>235</v>
      </c>
      <c r="AD42" s="84" t="s">
        <v>64</v>
      </c>
      <c r="AE42" s="84" t="s">
        <v>2036</v>
      </c>
      <c r="AF42" s="84" t="s">
        <v>156</v>
      </c>
      <c r="AG42" s="84" t="s">
        <v>91</v>
      </c>
      <c r="AH42" s="84" t="s">
        <v>106</v>
      </c>
      <c r="AI42" s="84" t="s">
        <v>93</v>
      </c>
      <c r="AJ42" s="115">
        <v>1</v>
      </c>
      <c r="AK42" s="115">
        <v>1</v>
      </c>
      <c r="AL42" s="115">
        <v>1</v>
      </c>
      <c r="AM42" s="84" t="s">
        <v>2024</v>
      </c>
      <c r="AN42" s="84" t="s">
        <v>829</v>
      </c>
      <c r="AO42" s="84" t="s">
        <v>526</v>
      </c>
      <c r="AP42" s="68" t="s">
        <v>2227</v>
      </c>
      <c r="AQ42" s="84" t="s">
        <v>88</v>
      </c>
      <c r="AR42" s="114">
        <v>1</v>
      </c>
      <c r="AS42" s="86">
        <v>6</v>
      </c>
      <c r="AT42" s="86">
        <v>6</v>
      </c>
      <c r="AU42" s="90"/>
      <c r="AV42" s="88">
        <v>8.8888888888888892E-2</v>
      </c>
      <c r="AW42" s="84"/>
      <c r="AX42" s="84" t="s">
        <v>80</v>
      </c>
      <c r="AY42" s="114">
        <v>1</v>
      </c>
      <c r="AZ42" s="114">
        <v>1</v>
      </c>
      <c r="BA42" s="86">
        <v>6</v>
      </c>
      <c r="BB42" s="86">
        <v>1</v>
      </c>
      <c r="BC42" s="84"/>
      <c r="BD42" s="93" t="s">
        <v>122</v>
      </c>
      <c r="BE42" s="84" t="s">
        <v>157</v>
      </c>
      <c r="BF42" s="93" t="s">
        <v>110</v>
      </c>
      <c r="BG42" s="84" t="s">
        <v>21</v>
      </c>
      <c r="BH42" s="84" t="s">
        <v>81</v>
      </c>
      <c r="BI42" s="84" t="s">
        <v>2025</v>
      </c>
      <c r="BJ42" s="89">
        <f t="shared" si="22"/>
        <v>11.25</v>
      </c>
      <c r="BK42" s="84">
        <v>135</v>
      </c>
      <c r="BL42" s="84">
        <v>135</v>
      </c>
      <c r="BM42" s="88">
        <v>11.25</v>
      </c>
      <c r="BN42" s="84" t="s">
        <v>389</v>
      </c>
      <c r="BO42" s="84" t="s">
        <v>382</v>
      </c>
      <c r="BP42" s="84" t="s">
        <v>64</v>
      </c>
      <c r="BQ42" s="84" t="s">
        <v>2026</v>
      </c>
      <c r="BR42" s="81" t="s">
        <v>2029</v>
      </c>
      <c r="BS42" s="81" t="s">
        <v>388</v>
      </c>
      <c r="BT42" s="84" t="s">
        <v>572</v>
      </c>
      <c r="BU42" s="86">
        <v>0.56999999999999995</v>
      </c>
      <c r="BV42" s="86">
        <v>0.2</v>
      </c>
      <c r="BW42" s="90">
        <v>0.4898979485566356</v>
      </c>
      <c r="BX42" s="86">
        <v>6</v>
      </c>
      <c r="BY42" s="86">
        <v>6</v>
      </c>
      <c r="BZ42" s="84" t="s">
        <v>40</v>
      </c>
      <c r="CA42" s="84" t="s">
        <v>2028</v>
      </c>
      <c r="CB42" s="84" t="s">
        <v>80</v>
      </c>
      <c r="CC42" s="86">
        <v>0.38</v>
      </c>
      <c r="CD42" s="86">
        <v>0.08</v>
      </c>
      <c r="CE42" s="90">
        <v>0.19595917942265423</v>
      </c>
      <c r="CF42" s="86">
        <v>6</v>
      </c>
      <c r="CG42" s="86">
        <v>6</v>
      </c>
      <c r="CH42" s="84" t="s">
        <v>40</v>
      </c>
      <c r="CI42" s="84" t="s">
        <v>2028</v>
      </c>
      <c r="CJ42" s="84"/>
      <c r="CK42" s="86"/>
      <c r="CL42" s="86"/>
      <c r="CM42" s="86"/>
      <c r="CN42" s="86"/>
      <c r="CO42" s="86"/>
      <c r="CP42" s="84"/>
      <c r="CQ42" s="84"/>
      <c r="CR42" s="84"/>
      <c r="CS42" s="86"/>
      <c r="CT42" s="86"/>
      <c r="CU42" s="86"/>
      <c r="CV42" s="86"/>
      <c r="CW42" s="86"/>
      <c r="CX42" s="84"/>
      <c r="CY42" s="84"/>
      <c r="CZ42" s="84"/>
      <c r="DF42" s="84"/>
      <c r="DG42" s="84"/>
      <c r="DH42" s="84"/>
      <c r="DO42" s="84"/>
      <c r="DP42" s="84"/>
      <c r="DV42" s="84"/>
      <c r="DW42" s="84"/>
      <c r="DX42" s="84"/>
      <c r="DY42" s="86"/>
      <c r="DZ42" s="86"/>
      <c r="EA42" s="86"/>
      <c r="EB42" s="86"/>
      <c r="EC42" s="86"/>
      <c r="ED42" s="84"/>
      <c r="EE42" s="84"/>
      <c r="EF42" s="84"/>
      <c r="EG42" s="86"/>
      <c r="EH42" s="86"/>
      <c r="EI42" s="86"/>
      <c r="EJ42" s="86"/>
      <c r="EK42" s="86"/>
      <c r="EL42" s="84"/>
      <c r="EM42" s="84"/>
      <c r="EN42" s="86">
        <f t="shared" si="31"/>
        <v>0.56999999999999995</v>
      </c>
      <c r="EO42" s="90">
        <f t="shared" si="32"/>
        <v>0.4898979485566356</v>
      </c>
      <c r="EP42" s="86">
        <f t="shared" si="33"/>
        <v>6</v>
      </c>
      <c r="EQ42" s="86">
        <f t="shared" si="34"/>
        <v>6</v>
      </c>
      <c r="ER42" s="86">
        <f t="shared" si="35"/>
        <v>0.38</v>
      </c>
      <c r="ES42" s="90">
        <f t="shared" si="36"/>
        <v>0.19595917942265423</v>
      </c>
      <c r="ET42" s="86">
        <f t="shared" si="37"/>
        <v>6</v>
      </c>
      <c r="EU42" s="86">
        <f t="shared" si="38"/>
        <v>6</v>
      </c>
      <c r="EV42" s="86">
        <f t="shared" si="39"/>
        <v>0.37309516212355259</v>
      </c>
      <c r="EW42" s="86">
        <f t="shared" si="40"/>
        <v>0.50925345404795241</v>
      </c>
      <c r="EX42" s="86">
        <f t="shared" si="41"/>
        <v>0.34413912835249039</v>
      </c>
      <c r="EY42" s="86">
        <f t="shared" si="42"/>
        <v>0.92307692307692313</v>
      </c>
      <c r="EZ42" s="83">
        <f t="shared" si="43"/>
        <v>0.47008011142887918</v>
      </c>
      <c r="FA42" s="83">
        <f t="shared" si="44"/>
        <v>0.29323097327076109</v>
      </c>
      <c r="FB42" s="83">
        <f t="shared" si="45"/>
        <v>12</v>
      </c>
      <c r="FC42" s="84" t="s">
        <v>385</v>
      </c>
    </row>
    <row r="43" spans="1:159" s="82" customFormat="1" ht="17.100000000000001" customHeight="1">
      <c r="A43" s="78" t="s">
        <v>2010</v>
      </c>
      <c r="B43" s="81" t="s">
        <v>1605</v>
      </c>
      <c r="C43" s="80" t="str">
        <f t="shared" si="10"/>
        <v>Elliott, K. J., Vose, J. M., &amp; Hendrick, R. L.  2009.  Long-term effects of high intensity prescribed fire on vegetation dynamics in the Wine Spring Creek watershed, western North Carolina, USA. Fire Ecology. 5: 66-85.</v>
      </c>
      <c r="D43" s="81" t="s">
        <v>2012</v>
      </c>
      <c r="E43" s="81">
        <v>2009</v>
      </c>
      <c r="F43" s="91" t="s">
        <v>2013</v>
      </c>
      <c r="G43" s="91" t="s">
        <v>2014</v>
      </c>
      <c r="H43" s="91">
        <v>5</v>
      </c>
      <c r="I43" s="92" t="s">
        <v>2015</v>
      </c>
      <c r="J43" s="81"/>
      <c r="K43" s="91" t="s">
        <v>2016</v>
      </c>
      <c r="L43" s="84" t="s">
        <v>2017</v>
      </c>
      <c r="M43" s="95" t="s">
        <v>73</v>
      </c>
      <c r="N43" s="84" t="s">
        <v>389</v>
      </c>
      <c r="O43" s="84"/>
      <c r="P43" s="91" t="s">
        <v>16</v>
      </c>
      <c r="Q43" s="91" t="s">
        <v>551</v>
      </c>
      <c r="R43" s="91" t="s">
        <v>2018</v>
      </c>
      <c r="S43" s="91" t="s">
        <v>2019</v>
      </c>
      <c r="T43" s="91" t="s">
        <v>2020</v>
      </c>
      <c r="U43" s="91" t="s">
        <v>2005</v>
      </c>
      <c r="V43" s="91">
        <v>35.25</v>
      </c>
      <c r="W43" s="91">
        <v>-83.58</v>
      </c>
      <c r="X43" s="81" t="s">
        <v>2021</v>
      </c>
      <c r="Y43" s="66" t="s">
        <v>1898</v>
      </c>
      <c r="Z43" s="66" t="s">
        <v>2202</v>
      </c>
      <c r="AA43" s="93" t="s">
        <v>97</v>
      </c>
      <c r="AB43" s="91" t="s">
        <v>2022</v>
      </c>
      <c r="AC43" s="81" t="s">
        <v>235</v>
      </c>
      <c r="AD43" s="84" t="s">
        <v>64</v>
      </c>
      <c r="AE43" s="84" t="s">
        <v>2036</v>
      </c>
      <c r="AF43" s="84" t="s">
        <v>156</v>
      </c>
      <c r="AG43" s="84" t="s">
        <v>91</v>
      </c>
      <c r="AH43" s="84" t="s">
        <v>106</v>
      </c>
      <c r="AI43" s="84" t="s">
        <v>93</v>
      </c>
      <c r="AJ43" s="115">
        <v>1</v>
      </c>
      <c r="AK43" s="86">
        <v>1</v>
      </c>
      <c r="AL43" s="86">
        <v>1</v>
      </c>
      <c r="AM43" s="84" t="s">
        <v>2024</v>
      </c>
      <c r="AN43" s="84" t="s">
        <v>829</v>
      </c>
      <c r="AO43" s="84" t="s">
        <v>526</v>
      </c>
      <c r="AP43" s="68" t="s">
        <v>2227</v>
      </c>
      <c r="AQ43" s="84" t="s">
        <v>88</v>
      </c>
      <c r="AR43" s="114">
        <v>1</v>
      </c>
      <c r="AS43" s="86">
        <v>6</v>
      </c>
      <c r="AT43" s="86">
        <v>6</v>
      </c>
      <c r="AU43" s="90"/>
      <c r="AV43" s="88">
        <v>8.8888888888888892E-2</v>
      </c>
      <c r="AW43" s="84"/>
      <c r="AX43" s="84" t="s">
        <v>80</v>
      </c>
      <c r="AY43" s="114">
        <v>1</v>
      </c>
      <c r="AZ43" s="114">
        <v>1</v>
      </c>
      <c r="BA43" s="86">
        <v>6</v>
      </c>
      <c r="BB43" s="86">
        <v>1</v>
      </c>
      <c r="BC43" s="84"/>
      <c r="BD43" s="93" t="s">
        <v>124</v>
      </c>
      <c r="BE43" s="84" t="s">
        <v>182</v>
      </c>
      <c r="BF43" s="93" t="s">
        <v>110</v>
      </c>
      <c r="BG43" s="84" t="s">
        <v>21</v>
      </c>
      <c r="BH43" s="84" t="s">
        <v>81</v>
      </c>
      <c r="BI43" s="84" t="s">
        <v>2025</v>
      </c>
      <c r="BJ43" s="89">
        <f t="shared" si="22"/>
        <v>11.25</v>
      </c>
      <c r="BK43" s="84">
        <v>135</v>
      </c>
      <c r="BL43" s="84">
        <v>135</v>
      </c>
      <c r="BM43" s="88">
        <v>11.25</v>
      </c>
      <c r="BN43" s="84" t="s">
        <v>389</v>
      </c>
      <c r="BO43" s="84" t="s">
        <v>382</v>
      </c>
      <c r="BP43" s="84" t="s">
        <v>64</v>
      </c>
      <c r="BQ43" s="84"/>
      <c r="BR43" s="81" t="s">
        <v>2030</v>
      </c>
      <c r="BS43" s="81" t="s">
        <v>388</v>
      </c>
      <c r="BT43" s="84" t="s">
        <v>572</v>
      </c>
      <c r="BU43" s="86">
        <v>2.5</v>
      </c>
      <c r="BV43" s="86">
        <v>0.4</v>
      </c>
      <c r="BW43" s="90">
        <v>0.9797958971132712</v>
      </c>
      <c r="BX43" s="86">
        <v>6</v>
      </c>
      <c r="BY43" s="86">
        <v>6</v>
      </c>
      <c r="BZ43" s="84" t="s">
        <v>40</v>
      </c>
      <c r="CA43" s="84" t="s">
        <v>2028</v>
      </c>
      <c r="CB43" s="84" t="s">
        <v>80</v>
      </c>
      <c r="CC43" s="86">
        <v>1.2</v>
      </c>
      <c r="CD43" s="86">
        <v>0.2</v>
      </c>
      <c r="CE43" s="90">
        <v>0.4898979485566356</v>
      </c>
      <c r="CF43" s="86">
        <v>6</v>
      </c>
      <c r="CG43" s="86">
        <v>6</v>
      </c>
      <c r="CH43" s="84" t="s">
        <v>40</v>
      </c>
      <c r="CI43" s="84" t="s">
        <v>2028</v>
      </c>
      <c r="CJ43" s="84"/>
      <c r="CK43" s="86"/>
      <c r="CL43" s="86"/>
      <c r="CM43" s="86"/>
      <c r="CN43" s="86"/>
      <c r="CO43" s="86"/>
      <c r="CP43" s="84"/>
      <c r="CQ43" s="84"/>
      <c r="CR43" s="84"/>
      <c r="CS43" s="86"/>
      <c r="CT43" s="86"/>
      <c r="CU43" s="86"/>
      <c r="CV43" s="86"/>
      <c r="CW43" s="86"/>
      <c r="CX43" s="84"/>
      <c r="CY43" s="84"/>
      <c r="CZ43" s="84"/>
      <c r="DF43" s="84"/>
      <c r="DG43" s="84"/>
      <c r="DH43" s="84"/>
      <c r="DO43" s="84"/>
      <c r="DP43" s="84"/>
      <c r="DV43" s="84"/>
      <c r="DW43" s="84"/>
      <c r="DX43" s="84"/>
      <c r="DY43" s="86"/>
      <c r="DZ43" s="86"/>
      <c r="EA43" s="86"/>
      <c r="EB43" s="86"/>
      <c r="EC43" s="86"/>
      <c r="ED43" s="84"/>
      <c r="EE43" s="84"/>
      <c r="EF43" s="84"/>
      <c r="EG43" s="86"/>
      <c r="EH43" s="86"/>
      <c r="EI43" s="86"/>
      <c r="EJ43" s="86"/>
      <c r="EK43" s="86"/>
      <c r="EL43" s="84"/>
      <c r="EM43" s="84"/>
      <c r="EN43" s="86">
        <f t="shared" si="31"/>
        <v>2.5</v>
      </c>
      <c r="EO43" s="90">
        <f t="shared" si="32"/>
        <v>0.9797958971132712</v>
      </c>
      <c r="EP43" s="86">
        <f t="shared" si="33"/>
        <v>6</v>
      </c>
      <c r="EQ43" s="86">
        <f t="shared" si="34"/>
        <v>6</v>
      </c>
      <c r="ER43" s="86">
        <f t="shared" si="35"/>
        <v>1.2</v>
      </c>
      <c r="ES43" s="90">
        <f t="shared" si="36"/>
        <v>0.4898979485566356</v>
      </c>
      <c r="ET43" s="86">
        <f t="shared" si="37"/>
        <v>6</v>
      </c>
      <c r="EU43" s="86">
        <f t="shared" si="38"/>
        <v>6</v>
      </c>
      <c r="EV43" s="86">
        <f t="shared" si="39"/>
        <v>0.7745966692414834</v>
      </c>
      <c r="EW43" s="86">
        <f t="shared" si="40"/>
        <v>1.6782927833565473</v>
      </c>
      <c r="EX43" s="86">
        <f t="shared" si="41"/>
        <v>0.4506944444444444</v>
      </c>
      <c r="EY43" s="86">
        <f t="shared" si="42"/>
        <v>0.92307692307692313</v>
      </c>
      <c r="EZ43" s="83">
        <f t="shared" si="43"/>
        <v>1.5491933384829668</v>
      </c>
      <c r="FA43" s="83">
        <f t="shared" si="44"/>
        <v>0.38402366863905329</v>
      </c>
      <c r="FB43" s="83">
        <f t="shared" si="45"/>
        <v>12</v>
      </c>
      <c r="FC43" s="84" t="s">
        <v>385</v>
      </c>
    </row>
    <row r="44" spans="1:159" s="82" customFormat="1" ht="17.100000000000001" customHeight="1">
      <c r="A44" s="78" t="s">
        <v>2003</v>
      </c>
      <c r="B44" s="81" t="s">
        <v>1617</v>
      </c>
      <c r="C44" s="80" t="str">
        <f t="shared" si="10"/>
        <v>Elliott, K. J., &amp; Vose, J. M.  2010.  Short-term effects of prescribed fire on mixed oak forests in the southern Appalachians: Vegetation response. Journal of the Torrey Botanical Society. 137: 49-66.</v>
      </c>
      <c r="D44" s="81" t="s">
        <v>1993</v>
      </c>
      <c r="E44" s="81">
        <v>2010</v>
      </c>
      <c r="F44" s="81" t="s">
        <v>1994</v>
      </c>
      <c r="G44" s="81" t="s">
        <v>331</v>
      </c>
      <c r="H44" s="81">
        <v>137</v>
      </c>
      <c r="I44" s="81" t="s">
        <v>1995</v>
      </c>
      <c r="J44" s="81"/>
      <c r="K44" s="81" t="s">
        <v>1996</v>
      </c>
      <c r="L44" s="84" t="s">
        <v>18</v>
      </c>
      <c r="M44" s="95" t="s">
        <v>164</v>
      </c>
      <c r="N44" s="84" t="s">
        <v>389</v>
      </c>
      <c r="O44" s="84"/>
      <c r="P44" s="81" t="s">
        <v>16</v>
      </c>
      <c r="Q44" s="81" t="s">
        <v>551</v>
      </c>
      <c r="R44" s="81" t="s">
        <v>2004</v>
      </c>
      <c r="S44" s="81"/>
      <c r="T44" s="81">
        <v>35.270000000000003</v>
      </c>
      <c r="U44" s="81">
        <v>83.6</v>
      </c>
      <c r="V44" s="81">
        <v>35.270000000000003</v>
      </c>
      <c r="W44" s="81">
        <v>-83.6</v>
      </c>
      <c r="X44" s="81"/>
      <c r="Y44" s="66" t="s">
        <v>1898</v>
      </c>
      <c r="Z44" s="66" t="s">
        <v>2202</v>
      </c>
      <c r="AA44" s="65" t="s">
        <v>555</v>
      </c>
      <c r="AB44" s="84" t="s">
        <v>103</v>
      </c>
      <c r="AC44" s="81" t="s">
        <v>235</v>
      </c>
      <c r="AD44" s="84" t="s">
        <v>64</v>
      </c>
      <c r="AE44" s="84" t="s">
        <v>2006</v>
      </c>
      <c r="AF44" s="84" t="s">
        <v>156</v>
      </c>
      <c r="AG44" s="84" t="s">
        <v>91</v>
      </c>
      <c r="AH44" s="84" t="s">
        <v>106</v>
      </c>
      <c r="AI44" s="84" t="s">
        <v>93</v>
      </c>
      <c r="AJ44" s="115">
        <v>1</v>
      </c>
      <c r="AK44" s="115" t="s">
        <v>85</v>
      </c>
      <c r="AL44" s="115" t="s">
        <v>85</v>
      </c>
      <c r="AM44" s="84" t="s">
        <v>1997</v>
      </c>
      <c r="AN44" s="84" t="s">
        <v>1998</v>
      </c>
      <c r="AO44" s="84" t="s">
        <v>526</v>
      </c>
      <c r="AP44" s="68" t="s">
        <v>2227</v>
      </c>
      <c r="AQ44" s="84" t="s">
        <v>88</v>
      </c>
      <c r="AR44" s="86" t="s">
        <v>185</v>
      </c>
      <c r="AS44" s="86" t="s">
        <v>85</v>
      </c>
      <c r="AT44" s="86"/>
      <c r="AU44" s="90"/>
      <c r="AV44" s="88">
        <v>0.41379310344827591</v>
      </c>
      <c r="AW44" s="84"/>
      <c r="AX44" s="84" t="s">
        <v>80</v>
      </c>
      <c r="AY44" s="86">
        <v>1</v>
      </c>
      <c r="AZ44" s="86" t="s">
        <v>312</v>
      </c>
      <c r="BA44" s="86">
        <v>1</v>
      </c>
      <c r="BB44" s="86"/>
      <c r="BC44" s="84"/>
      <c r="BD44" s="93" t="s">
        <v>122</v>
      </c>
      <c r="BE44" s="84" t="s">
        <v>157</v>
      </c>
      <c r="BF44" s="93" t="s">
        <v>387</v>
      </c>
      <c r="BG44" s="84" t="s">
        <v>21</v>
      </c>
      <c r="BH44" s="84" t="s">
        <v>81</v>
      </c>
      <c r="BI44" s="84" t="s">
        <v>569</v>
      </c>
      <c r="BJ44" s="89">
        <f t="shared" si="22"/>
        <v>2.4166666666666665</v>
      </c>
      <c r="BK44" s="84" t="s">
        <v>2007</v>
      </c>
      <c r="BL44" s="84" t="s">
        <v>2007</v>
      </c>
      <c r="BM44" s="88">
        <v>2.4166666666666665</v>
      </c>
      <c r="BN44" s="84" t="s">
        <v>389</v>
      </c>
      <c r="BO44" s="84" t="s">
        <v>382</v>
      </c>
      <c r="BP44" s="84" t="s">
        <v>64</v>
      </c>
      <c r="BQ44" s="84" t="s">
        <v>1999</v>
      </c>
      <c r="BR44" s="84" t="s">
        <v>2000</v>
      </c>
      <c r="BS44" s="84" t="s">
        <v>2174</v>
      </c>
      <c r="BT44" s="84"/>
      <c r="BU44" s="86"/>
      <c r="BV44" s="86"/>
      <c r="BW44" s="90"/>
      <c r="BX44" s="86"/>
      <c r="BY44" s="86"/>
      <c r="BZ44" s="84"/>
      <c r="CA44" s="84"/>
      <c r="CB44" s="84"/>
      <c r="CC44" s="86"/>
      <c r="CD44" s="86"/>
      <c r="CE44" s="90"/>
      <c r="CF44" s="86"/>
      <c r="CG44" s="86"/>
      <c r="CH44" s="84"/>
      <c r="CI44" s="84"/>
      <c r="CJ44" s="84"/>
      <c r="CK44" s="86"/>
      <c r="CL44" s="86"/>
      <c r="CM44" s="86"/>
      <c r="CN44" s="86"/>
      <c r="CO44" s="86"/>
      <c r="CP44" s="84"/>
      <c r="CQ44" s="84"/>
      <c r="CR44" s="84" t="s">
        <v>572</v>
      </c>
      <c r="CS44" s="86">
        <v>0.91</v>
      </c>
      <c r="CT44" s="86">
        <v>0.12</v>
      </c>
      <c r="CU44" s="86">
        <v>0.4156921938165305</v>
      </c>
      <c r="CV44" s="86">
        <v>12</v>
      </c>
      <c r="CW44" s="86">
        <v>12</v>
      </c>
      <c r="CX44" s="84" t="s">
        <v>159</v>
      </c>
      <c r="CY44" s="84" t="s">
        <v>2001</v>
      </c>
      <c r="CZ44" s="84" t="s">
        <v>80</v>
      </c>
      <c r="DA44" s="82">
        <v>0.89</v>
      </c>
      <c r="DB44" s="82">
        <v>0.18</v>
      </c>
      <c r="DC44" s="82">
        <v>0.44090815370097203</v>
      </c>
      <c r="DD44" s="82">
        <v>6</v>
      </c>
      <c r="DE44" s="82">
        <v>6</v>
      </c>
      <c r="DF44" s="84" t="s">
        <v>159</v>
      </c>
      <c r="DG44" s="84" t="s">
        <v>2001</v>
      </c>
      <c r="DH44" s="84" t="s">
        <v>572</v>
      </c>
      <c r="DI44" s="82">
        <v>0.9</v>
      </c>
      <c r="DJ44" s="82">
        <v>0.15</v>
      </c>
      <c r="DK44" s="82">
        <v>0.51961524227066314</v>
      </c>
      <c r="DL44" s="82">
        <v>12</v>
      </c>
      <c r="DM44" s="82">
        <v>12</v>
      </c>
      <c r="DN44" s="82" t="s">
        <v>159</v>
      </c>
      <c r="DO44" s="84" t="s">
        <v>2001</v>
      </c>
      <c r="DP44" s="84" t="s">
        <v>80</v>
      </c>
      <c r="DQ44" s="82">
        <v>0.9</v>
      </c>
      <c r="DR44" s="82">
        <v>0.19</v>
      </c>
      <c r="DS44" s="82">
        <v>0.46540305112880381</v>
      </c>
      <c r="DT44" s="82">
        <v>6</v>
      </c>
      <c r="DU44" s="82">
        <v>6</v>
      </c>
      <c r="DV44" s="84" t="s">
        <v>159</v>
      </c>
      <c r="DW44" s="84" t="s">
        <v>2001</v>
      </c>
      <c r="DX44" s="82" t="s">
        <v>1747</v>
      </c>
      <c r="DY44" s="86">
        <f>DI44-CS44</f>
        <v>-1.0000000000000009E-2</v>
      </c>
      <c r="DZ44" s="86"/>
      <c r="EA44" s="86">
        <f>SQRT((CU44^2)+(DK44^2))</f>
        <v>0.66543219038456491</v>
      </c>
      <c r="EB44" s="86">
        <v>12</v>
      </c>
      <c r="EC44" s="86">
        <v>12</v>
      </c>
      <c r="ED44" s="84" t="s">
        <v>1743</v>
      </c>
      <c r="EE44" s="82" t="s">
        <v>1744</v>
      </c>
      <c r="EF44" s="82" t="s">
        <v>1746</v>
      </c>
      <c r="EG44" s="86">
        <f>DQ44-DA44</f>
        <v>1.0000000000000009E-2</v>
      </c>
      <c r="EH44" s="86"/>
      <c r="EI44" s="86">
        <f>SQRT((DS44^2)+(DC44^2))</f>
        <v>0.64109281699298415</v>
      </c>
      <c r="EJ44" s="86">
        <v>6</v>
      </c>
      <c r="EK44" s="86">
        <v>6</v>
      </c>
      <c r="EL44" s="84" t="s">
        <v>1743</v>
      </c>
      <c r="EM44" s="82" t="s">
        <v>1745</v>
      </c>
      <c r="EN44" s="86">
        <f>DY44</f>
        <v>-1.0000000000000009E-2</v>
      </c>
      <c r="EO44" s="86">
        <f>EA44</f>
        <v>0.66543219038456491</v>
      </c>
      <c r="EP44" s="86">
        <f>EB44</f>
        <v>12</v>
      </c>
      <c r="EQ44" s="86">
        <f>EC44</f>
        <v>12</v>
      </c>
      <c r="ER44" s="86">
        <f>EG44</f>
        <v>1.0000000000000009E-2</v>
      </c>
      <c r="ES44" s="86">
        <f>EI44</f>
        <v>0.64109281699298415</v>
      </c>
      <c r="ET44" s="86">
        <f>EJ44</f>
        <v>6</v>
      </c>
      <c r="EU44" s="86">
        <f>EK44</f>
        <v>6</v>
      </c>
      <c r="EV44" s="86">
        <f t="shared" si="39"/>
        <v>0.65792286781962506</v>
      </c>
      <c r="EW44" s="86">
        <f t="shared" si="40"/>
        <v>-3.0398700179369933E-2</v>
      </c>
      <c r="EX44" s="86">
        <f t="shared" si="41"/>
        <v>0.25002566891590544</v>
      </c>
      <c r="EY44" s="86">
        <f t="shared" si="42"/>
        <v>0.95238095238095233</v>
      </c>
      <c r="EZ44" s="83">
        <f t="shared" si="43"/>
        <v>-2.8951143027971363E-2</v>
      </c>
      <c r="FA44" s="83">
        <f t="shared" si="44"/>
        <v>0.22678065207791875</v>
      </c>
      <c r="FB44" s="83">
        <f t="shared" si="45"/>
        <v>18</v>
      </c>
      <c r="FC44" s="84" t="s">
        <v>385</v>
      </c>
    </row>
    <row r="45" spans="1:159" s="82" customFormat="1" ht="17.100000000000001" customHeight="1">
      <c r="A45" s="78" t="s">
        <v>2003</v>
      </c>
      <c r="B45" s="81" t="s">
        <v>1617</v>
      </c>
      <c r="C45" s="80" t="str">
        <f t="shared" si="10"/>
        <v>Elliott, K. J., &amp; Vose, J. M.  2010.  Short-term effects of prescribed fire on mixed oak forests in the southern Appalachians: Vegetation response. Journal of the Torrey Botanical Society. 137: 49-66.</v>
      </c>
      <c r="D45" s="81" t="s">
        <v>1993</v>
      </c>
      <c r="E45" s="81">
        <v>2010</v>
      </c>
      <c r="F45" s="81" t="s">
        <v>1994</v>
      </c>
      <c r="G45" s="81" t="s">
        <v>331</v>
      </c>
      <c r="H45" s="81">
        <v>137</v>
      </c>
      <c r="I45" s="81" t="s">
        <v>1995</v>
      </c>
      <c r="J45" s="81"/>
      <c r="K45" s="81" t="s">
        <v>1996</v>
      </c>
      <c r="L45" s="84" t="s">
        <v>18</v>
      </c>
      <c r="M45" s="95" t="s">
        <v>164</v>
      </c>
      <c r="N45" s="84" t="s">
        <v>389</v>
      </c>
      <c r="O45" s="84"/>
      <c r="P45" s="81" t="s">
        <v>16</v>
      </c>
      <c r="Q45" s="81" t="s">
        <v>551</v>
      </c>
      <c r="R45" s="81" t="s">
        <v>2004</v>
      </c>
      <c r="S45" s="81"/>
      <c r="T45" s="81">
        <v>35.270000000000003</v>
      </c>
      <c r="U45" s="81">
        <v>83.6</v>
      </c>
      <c r="V45" s="81">
        <v>35.270000000000003</v>
      </c>
      <c r="W45" s="81">
        <v>-83.6</v>
      </c>
      <c r="X45" s="81"/>
      <c r="Y45" s="66" t="s">
        <v>1898</v>
      </c>
      <c r="Z45" s="66" t="s">
        <v>2202</v>
      </c>
      <c r="AA45" s="65" t="s">
        <v>555</v>
      </c>
      <c r="AB45" s="84" t="s">
        <v>103</v>
      </c>
      <c r="AC45" s="81" t="s">
        <v>235</v>
      </c>
      <c r="AD45" s="84" t="s">
        <v>64</v>
      </c>
      <c r="AE45" s="84" t="s">
        <v>2006</v>
      </c>
      <c r="AF45" s="84" t="s">
        <v>156</v>
      </c>
      <c r="AG45" s="84" t="s">
        <v>91</v>
      </c>
      <c r="AH45" s="84" t="s">
        <v>106</v>
      </c>
      <c r="AI45" s="84" t="s">
        <v>93</v>
      </c>
      <c r="AJ45" s="115">
        <v>1</v>
      </c>
      <c r="AK45" s="115" t="s">
        <v>85</v>
      </c>
      <c r="AL45" s="115" t="s">
        <v>85</v>
      </c>
      <c r="AM45" s="84" t="s">
        <v>1997</v>
      </c>
      <c r="AN45" s="84" t="s">
        <v>1998</v>
      </c>
      <c r="AO45" s="84" t="s">
        <v>526</v>
      </c>
      <c r="AP45" s="68" t="s">
        <v>2227</v>
      </c>
      <c r="AQ45" s="84" t="s">
        <v>88</v>
      </c>
      <c r="AR45" s="86" t="s">
        <v>185</v>
      </c>
      <c r="AS45" s="86" t="s">
        <v>193</v>
      </c>
      <c r="AT45" s="86"/>
      <c r="AU45" s="90"/>
      <c r="AV45" s="88">
        <v>0.41379310344827591</v>
      </c>
      <c r="AW45" s="84"/>
      <c r="AX45" s="84" t="s">
        <v>80</v>
      </c>
      <c r="AY45" s="86">
        <v>1</v>
      </c>
      <c r="AZ45" s="86" t="s">
        <v>312</v>
      </c>
      <c r="BA45" s="86">
        <v>4</v>
      </c>
      <c r="BB45" s="86"/>
      <c r="BC45" s="84"/>
      <c r="BD45" s="93" t="s">
        <v>124</v>
      </c>
      <c r="BE45" s="84" t="s">
        <v>182</v>
      </c>
      <c r="BF45" s="93" t="s">
        <v>110</v>
      </c>
      <c r="BG45" s="84" t="s">
        <v>21</v>
      </c>
      <c r="BH45" s="84" t="s">
        <v>81</v>
      </c>
      <c r="BI45" s="84" t="s">
        <v>365</v>
      </c>
      <c r="BJ45" s="89">
        <f t="shared" si="22"/>
        <v>2.4166666666666665</v>
      </c>
      <c r="BK45" s="84" t="s">
        <v>2007</v>
      </c>
      <c r="BL45" s="84" t="s">
        <v>2007</v>
      </c>
      <c r="BM45" s="88">
        <v>2.4166666666666665</v>
      </c>
      <c r="BN45" s="84" t="s">
        <v>389</v>
      </c>
      <c r="BO45" s="84" t="s">
        <v>382</v>
      </c>
      <c r="BP45" s="84" t="s">
        <v>64</v>
      </c>
      <c r="BQ45" s="84"/>
      <c r="BR45" s="81" t="s">
        <v>2002</v>
      </c>
      <c r="BS45" s="81" t="s">
        <v>2180</v>
      </c>
      <c r="BT45" s="84" t="s">
        <v>572</v>
      </c>
      <c r="BU45" s="86">
        <v>9.6999999999999993</v>
      </c>
      <c r="BV45" s="86">
        <v>1</v>
      </c>
      <c r="BW45" s="86">
        <v>6.9282032302755088</v>
      </c>
      <c r="BX45" s="86">
        <v>48</v>
      </c>
      <c r="BY45" s="86">
        <v>12</v>
      </c>
      <c r="BZ45" s="84" t="s">
        <v>40</v>
      </c>
      <c r="CA45" s="84" t="s">
        <v>2008</v>
      </c>
      <c r="CB45" s="84" t="s">
        <v>80</v>
      </c>
      <c r="CC45" s="86">
        <v>8.8000000000000007</v>
      </c>
      <c r="CD45" s="86">
        <v>0.9</v>
      </c>
      <c r="CE45" s="86">
        <v>4.4090815370097207</v>
      </c>
      <c r="CF45" s="86">
        <v>24</v>
      </c>
      <c r="CG45" s="86">
        <v>6</v>
      </c>
      <c r="CH45" s="84" t="s">
        <v>40</v>
      </c>
      <c r="CI45" s="84" t="s">
        <v>2008</v>
      </c>
      <c r="CJ45" s="84"/>
      <c r="CK45" s="86"/>
      <c r="CL45" s="86"/>
      <c r="CM45" s="86"/>
      <c r="CN45" s="86"/>
      <c r="CO45" s="86"/>
      <c r="CP45" s="84"/>
      <c r="CQ45" s="84"/>
      <c r="CR45" s="84"/>
      <c r="CS45" s="86"/>
      <c r="CT45" s="86"/>
      <c r="CU45" s="86"/>
      <c r="CV45" s="86"/>
      <c r="CW45" s="86"/>
      <c r="CX45" s="84"/>
      <c r="CY45" s="84"/>
      <c r="CZ45" s="84"/>
      <c r="DF45" s="84"/>
      <c r="DG45" s="84"/>
      <c r="DH45" s="84"/>
      <c r="DO45" s="84"/>
      <c r="DP45" s="84"/>
      <c r="DV45" s="84"/>
      <c r="DW45" s="84"/>
      <c r="DY45" s="86"/>
      <c r="DZ45" s="86"/>
      <c r="EA45" s="86"/>
      <c r="EB45" s="86"/>
      <c r="EC45" s="86"/>
      <c r="ED45" s="84"/>
      <c r="EG45" s="86"/>
      <c r="EH45" s="86"/>
      <c r="EI45" s="86"/>
      <c r="EJ45" s="86"/>
      <c r="EK45" s="86"/>
      <c r="EL45" s="84"/>
      <c r="EN45" s="86">
        <f>BU45</f>
        <v>9.6999999999999993</v>
      </c>
      <c r="EO45" s="90">
        <f t="shared" ref="EO45:EQ46" si="46">BW45</f>
        <v>6.9282032302755088</v>
      </c>
      <c r="EP45" s="86">
        <f t="shared" si="46"/>
        <v>48</v>
      </c>
      <c r="EQ45" s="86">
        <f t="shared" si="46"/>
        <v>12</v>
      </c>
      <c r="ER45" s="86">
        <f>CC45</f>
        <v>8.8000000000000007</v>
      </c>
      <c r="ES45" s="90">
        <f t="shared" ref="ES45:EU46" si="47">CE45</f>
        <v>4.4090815370097207</v>
      </c>
      <c r="ET45" s="86">
        <f t="shared" si="47"/>
        <v>24</v>
      </c>
      <c r="EU45" s="86">
        <f t="shared" si="47"/>
        <v>6</v>
      </c>
      <c r="EV45" s="86">
        <f t="shared" si="39"/>
        <v>6.2141773389564605</v>
      </c>
      <c r="EW45" s="86">
        <f t="shared" si="40"/>
        <v>0.14483011200178181</v>
      </c>
      <c r="EX45" s="86">
        <f t="shared" si="41"/>
        <v>0.25014566500932256</v>
      </c>
      <c r="EY45" s="86">
        <f t="shared" si="42"/>
        <v>0.989247311827957</v>
      </c>
      <c r="EZ45" s="83">
        <f t="shared" si="43"/>
        <v>0.14327279896950459</v>
      </c>
      <c r="FA45" s="83">
        <f t="shared" si="44"/>
        <v>0.24479511026001921</v>
      </c>
      <c r="FB45" s="83">
        <f t="shared" si="45"/>
        <v>18</v>
      </c>
      <c r="FC45" s="84" t="s">
        <v>385</v>
      </c>
    </row>
    <row r="46" spans="1:159" s="82" customFormat="1" ht="17.100000000000001" customHeight="1">
      <c r="A46" s="78" t="s">
        <v>2003</v>
      </c>
      <c r="B46" s="81" t="s">
        <v>1617</v>
      </c>
      <c r="C46" s="80" t="str">
        <f t="shared" si="10"/>
        <v>Elliott, K. J., &amp; Vose, J. M.  2010.  Short-term effects of prescribed fire on mixed oak forests in the southern Appalachians: Vegetation response. Journal of the Torrey Botanical Society. 137: 49-66.</v>
      </c>
      <c r="D46" s="81" t="s">
        <v>1993</v>
      </c>
      <c r="E46" s="81">
        <v>2010</v>
      </c>
      <c r="F46" s="81" t="s">
        <v>1994</v>
      </c>
      <c r="G46" s="81" t="s">
        <v>331</v>
      </c>
      <c r="H46" s="81">
        <v>137</v>
      </c>
      <c r="I46" s="81" t="s">
        <v>1995</v>
      </c>
      <c r="J46" s="81"/>
      <c r="K46" s="81" t="s">
        <v>1996</v>
      </c>
      <c r="L46" s="84" t="s">
        <v>18</v>
      </c>
      <c r="M46" s="95" t="s">
        <v>164</v>
      </c>
      <c r="N46" s="84" t="s">
        <v>389</v>
      </c>
      <c r="O46" s="84"/>
      <c r="P46" s="81" t="s">
        <v>16</v>
      </c>
      <c r="Q46" s="81" t="s">
        <v>551</v>
      </c>
      <c r="R46" s="81" t="s">
        <v>2004</v>
      </c>
      <c r="S46" s="81"/>
      <c r="T46" s="81">
        <v>35.270000000000003</v>
      </c>
      <c r="U46" s="81">
        <v>83.6</v>
      </c>
      <c r="V46" s="81">
        <v>35.270000000000003</v>
      </c>
      <c r="W46" s="81">
        <v>-83.6</v>
      </c>
      <c r="X46" s="81"/>
      <c r="Y46" s="66" t="s">
        <v>1898</v>
      </c>
      <c r="Z46" s="66" t="s">
        <v>2202</v>
      </c>
      <c r="AA46" s="65" t="s">
        <v>555</v>
      </c>
      <c r="AB46" s="84" t="s">
        <v>103</v>
      </c>
      <c r="AC46" s="81" t="s">
        <v>235</v>
      </c>
      <c r="AD46" s="84" t="s">
        <v>64</v>
      </c>
      <c r="AE46" s="84" t="s">
        <v>2006</v>
      </c>
      <c r="AF46" s="84" t="s">
        <v>156</v>
      </c>
      <c r="AG46" s="84" t="s">
        <v>91</v>
      </c>
      <c r="AH46" s="84" t="s">
        <v>106</v>
      </c>
      <c r="AI46" s="84" t="s">
        <v>93</v>
      </c>
      <c r="AJ46" s="115">
        <v>1</v>
      </c>
      <c r="AK46" s="115" t="s">
        <v>85</v>
      </c>
      <c r="AL46" s="115" t="s">
        <v>85</v>
      </c>
      <c r="AM46" s="84" t="s">
        <v>1997</v>
      </c>
      <c r="AN46" s="84" t="s">
        <v>1998</v>
      </c>
      <c r="AO46" s="84" t="s">
        <v>526</v>
      </c>
      <c r="AP46" s="68" t="s">
        <v>2227</v>
      </c>
      <c r="AQ46" s="84" t="s">
        <v>88</v>
      </c>
      <c r="AR46" s="86" t="s">
        <v>185</v>
      </c>
      <c r="AS46" s="86" t="s">
        <v>193</v>
      </c>
      <c r="AT46" s="86"/>
      <c r="AU46" s="90"/>
      <c r="AV46" s="88">
        <v>0.41379310344827591</v>
      </c>
      <c r="AW46" s="84"/>
      <c r="AX46" s="84" t="s">
        <v>80</v>
      </c>
      <c r="AY46" s="86">
        <v>1</v>
      </c>
      <c r="AZ46" s="86" t="s">
        <v>312</v>
      </c>
      <c r="BA46" s="86">
        <v>4</v>
      </c>
      <c r="BB46" s="86"/>
      <c r="BC46" s="84"/>
      <c r="BD46" s="93" t="s">
        <v>122</v>
      </c>
      <c r="BE46" s="84" t="s">
        <v>157</v>
      </c>
      <c r="BF46" s="93" t="s">
        <v>110</v>
      </c>
      <c r="BG46" s="84" t="s">
        <v>21</v>
      </c>
      <c r="BH46" s="84" t="s">
        <v>81</v>
      </c>
      <c r="BI46" s="84" t="s">
        <v>365</v>
      </c>
      <c r="BJ46" s="89">
        <f t="shared" si="22"/>
        <v>2.4166666666666665</v>
      </c>
      <c r="BK46" s="84" t="s">
        <v>2007</v>
      </c>
      <c r="BL46" s="84" t="s">
        <v>2007</v>
      </c>
      <c r="BM46" s="88">
        <v>2.4166666666666665</v>
      </c>
      <c r="BN46" s="84" t="s">
        <v>389</v>
      </c>
      <c r="BO46" s="84" t="s">
        <v>382</v>
      </c>
      <c r="BP46" s="84" t="s">
        <v>64</v>
      </c>
      <c r="BQ46" s="84" t="s">
        <v>769</v>
      </c>
      <c r="BR46" s="81" t="s">
        <v>2002</v>
      </c>
      <c r="BS46" s="81" t="s">
        <v>2180</v>
      </c>
      <c r="BT46" s="84" t="s">
        <v>572</v>
      </c>
      <c r="BU46" s="86">
        <v>2.4300000000000002</v>
      </c>
      <c r="BV46" s="86">
        <v>0.1</v>
      </c>
      <c r="BW46" s="86">
        <v>0.34641016151377546</v>
      </c>
      <c r="BX46" s="86">
        <v>12</v>
      </c>
      <c r="BY46" s="86">
        <v>12</v>
      </c>
      <c r="BZ46" s="84" t="s">
        <v>40</v>
      </c>
      <c r="CA46" s="84" t="s">
        <v>2009</v>
      </c>
      <c r="CB46" s="84" t="s">
        <v>80</v>
      </c>
      <c r="CC46" s="86">
        <v>2.21</v>
      </c>
      <c r="CD46" s="86">
        <v>0.14000000000000001</v>
      </c>
      <c r="CE46" s="86">
        <v>0.34292856398964494</v>
      </c>
      <c r="CF46" s="86">
        <v>6</v>
      </c>
      <c r="CG46" s="86">
        <v>6</v>
      </c>
      <c r="CH46" s="84" t="s">
        <v>40</v>
      </c>
      <c r="CI46" s="84" t="s">
        <v>2009</v>
      </c>
      <c r="CJ46" s="84"/>
      <c r="CK46" s="86"/>
      <c r="CL46" s="86"/>
      <c r="CM46" s="86"/>
      <c r="CN46" s="86"/>
      <c r="CO46" s="86"/>
      <c r="CP46" s="84"/>
      <c r="CQ46" s="84"/>
      <c r="CR46" s="84"/>
      <c r="CS46" s="86"/>
      <c r="CT46" s="86"/>
      <c r="CU46" s="86"/>
      <c r="CV46" s="86"/>
      <c r="CW46" s="86"/>
      <c r="CX46" s="84"/>
      <c r="CY46" s="84"/>
      <c r="CZ46" s="84"/>
      <c r="DF46" s="84"/>
      <c r="DG46" s="84"/>
      <c r="DH46" s="84"/>
      <c r="DO46" s="84"/>
      <c r="DP46" s="84"/>
      <c r="DV46" s="84"/>
      <c r="DW46" s="84"/>
      <c r="DY46" s="86"/>
      <c r="DZ46" s="86"/>
      <c r="EA46" s="86"/>
      <c r="EB46" s="86"/>
      <c r="EC46" s="86"/>
      <c r="ED46" s="84"/>
      <c r="EG46" s="86"/>
      <c r="EH46" s="86"/>
      <c r="EI46" s="86"/>
      <c r="EJ46" s="86"/>
      <c r="EK46" s="86"/>
      <c r="EL46" s="84"/>
      <c r="EN46" s="86">
        <f>BU46</f>
        <v>2.4300000000000002</v>
      </c>
      <c r="EO46" s="90">
        <f t="shared" si="46"/>
        <v>0.34641016151377546</v>
      </c>
      <c r="EP46" s="86">
        <f t="shared" si="46"/>
        <v>12</v>
      </c>
      <c r="EQ46" s="86">
        <f t="shared" si="46"/>
        <v>12</v>
      </c>
      <c r="ER46" s="86">
        <f>CC46</f>
        <v>2.21</v>
      </c>
      <c r="ES46" s="90">
        <f t="shared" si="47"/>
        <v>0.34292856398964494</v>
      </c>
      <c r="ET46" s="86">
        <f t="shared" si="47"/>
        <v>6</v>
      </c>
      <c r="EU46" s="86">
        <f t="shared" si="47"/>
        <v>6</v>
      </c>
      <c r="EV46" s="86">
        <f t="shared" si="39"/>
        <v>0.34532593299664016</v>
      </c>
      <c r="EW46" s="86">
        <f t="shared" si="40"/>
        <v>0.63707928938583558</v>
      </c>
      <c r="EX46" s="86">
        <f t="shared" si="41"/>
        <v>0.26127416724901004</v>
      </c>
      <c r="EY46" s="86">
        <f t="shared" si="42"/>
        <v>0.95238095238095233</v>
      </c>
      <c r="EZ46" s="83">
        <f t="shared" si="43"/>
        <v>0.60674218036746241</v>
      </c>
      <c r="FA46" s="83">
        <f t="shared" si="44"/>
        <v>0.23698337165443084</v>
      </c>
      <c r="FB46" s="83">
        <f t="shared" si="45"/>
        <v>18</v>
      </c>
      <c r="FC46" s="84" t="s">
        <v>385</v>
      </c>
    </row>
    <row r="47" spans="1:159" s="82" customFormat="1" ht="17.100000000000001" customHeight="1">
      <c r="A47" s="78" t="s">
        <v>84</v>
      </c>
      <c r="B47" s="82" t="s">
        <v>1457</v>
      </c>
      <c r="C47" s="80" t="str">
        <f t="shared" si="10"/>
        <v>Hyvärinen, E., Kouki, J., &amp; Martikainen, P.  2009.  Prescribed fires and retention trees help to conserve beetle diversity in managed boreal forests despite their transient negative effects on some beetle groups. Insect Conservation and Diversity. 2: 93-105.</v>
      </c>
      <c r="D47" s="82" t="s">
        <v>1456</v>
      </c>
      <c r="E47" s="84">
        <v>2009</v>
      </c>
      <c r="F47" s="82" t="s">
        <v>41</v>
      </c>
      <c r="G47" s="79" t="s">
        <v>42</v>
      </c>
      <c r="H47" s="81">
        <v>2</v>
      </c>
      <c r="I47" s="81" t="s">
        <v>43</v>
      </c>
      <c r="J47" s="81" t="s">
        <v>1569</v>
      </c>
      <c r="K47" s="82" t="s">
        <v>55</v>
      </c>
      <c r="L47" s="82" t="s">
        <v>18</v>
      </c>
      <c r="M47" s="83" t="s">
        <v>164</v>
      </c>
      <c r="N47" s="82" t="s">
        <v>389</v>
      </c>
      <c r="O47" s="82" t="s">
        <v>52</v>
      </c>
      <c r="P47" s="81" t="s">
        <v>44</v>
      </c>
      <c r="Q47" s="79" t="s">
        <v>45</v>
      </c>
      <c r="R47" s="79" t="s">
        <v>46</v>
      </c>
      <c r="S47" s="79" t="s">
        <v>84</v>
      </c>
      <c r="T47" s="79" t="s">
        <v>47</v>
      </c>
      <c r="U47" s="82" t="s">
        <v>108</v>
      </c>
      <c r="V47" s="81">
        <v>63.17</v>
      </c>
      <c r="W47" s="84">
        <v>30.67</v>
      </c>
      <c r="X47" s="84"/>
      <c r="Y47" s="66" t="s">
        <v>1895</v>
      </c>
      <c r="Z47" s="66" t="s">
        <v>2203</v>
      </c>
      <c r="AA47" s="97" t="s">
        <v>49</v>
      </c>
      <c r="AB47" s="79" t="s">
        <v>103</v>
      </c>
      <c r="AC47" s="82" t="s">
        <v>98</v>
      </c>
      <c r="AD47" s="82" t="s">
        <v>64</v>
      </c>
      <c r="AE47" s="79" t="s">
        <v>48</v>
      </c>
      <c r="AF47" s="82" t="s">
        <v>64</v>
      </c>
      <c r="AG47" s="82" t="s">
        <v>53</v>
      </c>
      <c r="AH47" s="82" t="s">
        <v>106</v>
      </c>
      <c r="AI47" s="82" t="s">
        <v>276</v>
      </c>
      <c r="AJ47" s="115">
        <v>3</v>
      </c>
      <c r="AK47" s="86">
        <v>1</v>
      </c>
      <c r="AL47" s="86">
        <v>1</v>
      </c>
      <c r="AM47" s="84" t="s">
        <v>76</v>
      </c>
      <c r="AN47" s="84" t="s">
        <v>520</v>
      </c>
      <c r="AO47" s="84" t="s">
        <v>1114</v>
      </c>
      <c r="AP47" s="68" t="s">
        <v>2227</v>
      </c>
      <c r="AQ47" s="82" t="s">
        <v>94</v>
      </c>
      <c r="AR47" s="86">
        <v>1</v>
      </c>
      <c r="AS47" s="86">
        <v>10</v>
      </c>
      <c r="AT47" s="86"/>
      <c r="AU47" s="86"/>
      <c r="AV47" s="88">
        <v>0.89</v>
      </c>
      <c r="AX47" s="82" t="s">
        <v>80</v>
      </c>
      <c r="AY47" s="86">
        <v>3</v>
      </c>
      <c r="AZ47" s="86">
        <v>1</v>
      </c>
      <c r="BA47" s="86">
        <v>10</v>
      </c>
      <c r="BB47" s="86"/>
      <c r="BD47" s="83" t="s">
        <v>124</v>
      </c>
      <c r="BE47" s="82" t="s">
        <v>182</v>
      </c>
      <c r="BF47" s="83" t="s">
        <v>1752</v>
      </c>
      <c r="BG47" s="82" t="s">
        <v>21</v>
      </c>
      <c r="BH47" s="82" t="s">
        <v>81</v>
      </c>
      <c r="BI47" s="84" t="s">
        <v>225</v>
      </c>
      <c r="BJ47" s="89">
        <f>13.5/12</f>
        <v>1.125</v>
      </c>
      <c r="BK47" s="84" t="s">
        <v>104</v>
      </c>
      <c r="BL47" s="84" t="s">
        <v>104</v>
      </c>
      <c r="BM47" s="88">
        <v>1.125</v>
      </c>
      <c r="BN47" s="82" t="s">
        <v>389</v>
      </c>
      <c r="BO47" s="82" t="s">
        <v>50</v>
      </c>
      <c r="BP47" s="82" t="s">
        <v>96</v>
      </c>
      <c r="BQ47" s="116"/>
      <c r="BR47" s="82" t="s">
        <v>1754</v>
      </c>
      <c r="BS47" s="82" t="s">
        <v>2168</v>
      </c>
      <c r="BU47" s="86"/>
      <c r="BV47" s="86"/>
      <c r="BW47" s="90"/>
      <c r="BX47" s="86"/>
      <c r="BY47" s="86"/>
      <c r="CC47" s="86"/>
      <c r="CD47" s="86"/>
      <c r="CE47" s="90"/>
      <c r="CF47" s="86"/>
      <c r="CG47" s="86"/>
      <c r="CK47" s="86"/>
      <c r="CL47" s="86"/>
      <c r="CM47" s="86"/>
      <c r="CN47" s="86"/>
      <c r="CO47" s="86"/>
      <c r="CR47" s="82" t="s">
        <v>72</v>
      </c>
      <c r="CS47" s="86">
        <v>60.7</v>
      </c>
      <c r="CT47" s="86"/>
      <c r="CU47" s="86">
        <v>3.9230090491866063</v>
      </c>
      <c r="CV47" s="86">
        <v>3</v>
      </c>
      <c r="CW47" s="86">
        <v>3</v>
      </c>
      <c r="CX47" s="82" t="s">
        <v>1753</v>
      </c>
      <c r="CY47" s="82" t="s">
        <v>413</v>
      </c>
      <c r="CZ47" s="82" t="s">
        <v>80</v>
      </c>
      <c r="DA47" s="82">
        <v>56.199999999999996</v>
      </c>
      <c r="DC47" s="82">
        <v>17.214528747543454</v>
      </c>
      <c r="DD47" s="82">
        <v>3</v>
      </c>
      <c r="DE47" s="82">
        <v>3</v>
      </c>
      <c r="DF47" s="82" t="s">
        <v>1753</v>
      </c>
      <c r="DG47" s="82" t="s">
        <v>413</v>
      </c>
      <c r="DH47" s="82" t="s">
        <v>72</v>
      </c>
      <c r="DI47" s="82">
        <v>79.2</v>
      </c>
      <c r="DK47" s="82">
        <v>3.1128764832546763</v>
      </c>
      <c r="DL47" s="82">
        <v>3</v>
      </c>
      <c r="DM47" s="82">
        <v>3</v>
      </c>
      <c r="DN47" s="82" t="s">
        <v>1753</v>
      </c>
      <c r="DP47" s="82" t="s">
        <v>80</v>
      </c>
      <c r="DQ47" s="82">
        <v>56.4</v>
      </c>
      <c r="DS47" s="82">
        <v>5.3301031884945713</v>
      </c>
      <c r="DT47" s="82">
        <v>3</v>
      </c>
      <c r="DU47" s="82">
        <v>3</v>
      </c>
      <c r="DV47" s="82" t="s">
        <v>1753</v>
      </c>
      <c r="DW47" s="82" t="s">
        <v>413</v>
      </c>
      <c r="DX47" s="82" t="s">
        <v>1747</v>
      </c>
      <c r="DY47" s="86">
        <f>DI47-CS47</f>
        <v>18.5</v>
      </c>
      <c r="DZ47" s="86"/>
      <c r="EA47" s="86">
        <f>SQRT((CU47^2)+(DK47^2))</f>
        <v>5.0079936102195663</v>
      </c>
      <c r="EB47" s="86">
        <f>DL47</f>
        <v>3</v>
      </c>
      <c r="EC47" s="86">
        <f>DM47</f>
        <v>3</v>
      </c>
      <c r="ED47" s="82" t="s">
        <v>1743</v>
      </c>
      <c r="EE47" s="82" t="s">
        <v>1744</v>
      </c>
      <c r="EF47" s="82" t="s">
        <v>1746</v>
      </c>
      <c r="EG47" s="86">
        <f>DQ47-DA47</f>
        <v>0.20000000000000284</v>
      </c>
      <c r="EH47" s="86"/>
      <c r="EI47" s="86">
        <f>SQRT((DS47^2)+(DC47^2))</f>
        <v>18.020821290940098</v>
      </c>
      <c r="EJ47" s="86">
        <f>DT47</f>
        <v>3</v>
      </c>
      <c r="EK47" s="86">
        <f>DU47</f>
        <v>3</v>
      </c>
      <c r="EL47" s="82" t="s">
        <v>1743</v>
      </c>
      <c r="EM47" s="82" t="s">
        <v>1745</v>
      </c>
      <c r="EN47" s="86">
        <f>DY47</f>
        <v>18.5</v>
      </c>
      <c r="EO47" s="86">
        <f>EA47</f>
        <v>5.0079936102195663</v>
      </c>
      <c r="EP47" s="86">
        <f>EB47</f>
        <v>3</v>
      </c>
      <c r="EQ47" s="86">
        <f>EC47</f>
        <v>3</v>
      </c>
      <c r="ER47" s="86">
        <f>EG47</f>
        <v>0.20000000000000284</v>
      </c>
      <c r="ES47" s="86">
        <f>EI47</f>
        <v>18.020821290940098</v>
      </c>
      <c r="ET47" s="86">
        <f>EJ47</f>
        <v>3</v>
      </c>
      <c r="EU47" s="86">
        <f>EK47</f>
        <v>3</v>
      </c>
      <c r="EV47" s="86">
        <f t="shared" si="39"/>
        <v>13.225543467094271</v>
      </c>
      <c r="EW47" s="86">
        <f t="shared" si="40"/>
        <v>1.3836860500690347</v>
      </c>
      <c r="EX47" s="86">
        <f t="shared" si="41"/>
        <v>0.82621559042963721</v>
      </c>
      <c r="EY47" s="86">
        <f t="shared" si="42"/>
        <v>0.8</v>
      </c>
      <c r="EZ47" s="83">
        <f t="shared" si="43"/>
        <v>1.1069488400552279</v>
      </c>
      <c r="FA47" s="83">
        <f t="shared" si="44"/>
        <v>0.52877797787496794</v>
      </c>
      <c r="FB47" s="83">
        <f t="shared" si="45"/>
        <v>6</v>
      </c>
      <c r="FC47" s="82" t="s">
        <v>125</v>
      </c>
    </row>
    <row r="48" spans="1:159" s="82" customFormat="1" ht="17.100000000000001" customHeight="1">
      <c r="A48" s="78" t="s">
        <v>84</v>
      </c>
      <c r="B48" s="79" t="s">
        <v>1406</v>
      </c>
      <c r="C48" s="80" t="str">
        <f t="shared" si="10"/>
        <v>Martikainen, P., Kouki, J., &amp; Heikkala, O. 2006.  The effects of green tree retention and subsequent prescribed burning on ground beetles (Coleoptera: Carabidae) in boreal pine-dominated forests. Ecography. 29: 659-670.</v>
      </c>
      <c r="D48" s="79" t="s">
        <v>1460</v>
      </c>
      <c r="E48" s="81">
        <v>2006</v>
      </c>
      <c r="F48" s="79" t="s">
        <v>187</v>
      </c>
      <c r="G48" s="79" t="s">
        <v>188</v>
      </c>
      <c r="H48" s="81">
        <v>29</v>
      </c>
      <c r="I48" s="81" t="s">
        <v>189</v>
      </c>
      <c r="J48" s="79"/>
      <c r="K48" s="79" t="s">
        <v>190</v>
      </c>
      <c r="L48" s="82" t="s">
        <v>101</v>
      </c>
      <c r="M48" s="83" t="s">
        <v>73</v>
      </c>
      <c r="N48" s="82" t="s">
        <v>389</v>
      </c>
      <c r="O48" s="79"/>
      <c r="P48" s="81" t="s">
        <v>44</v>
      </c>
      <c r="Q48" s="79" t="s">
        <v>45</v>
      </c>
      <c r="R48" s="79" t="s">
        <v>46</v>
      </c>
      <c r="S48" s="79" t="s">
        <v>84</v>
      </c>
      <c r="T48" s="79" t="s">
        <v>47</v>
      </c>
      <c r="U48" s="79" t="s">
        <v>108</v>
      </c>
      <c r="V48" s="81">
        <v>63.17</v>
      </c>
      <c r="W48" s="81">
        <v>30.67</v>
      </c>
      <c r="X48" s="84"/>
      <c r="Y48" s="66" t="s">
        <v>1895</v>
      </c>
      <c r="Z48" s="66" t="s">
        <v>2203</v>
      </c>
      <c r="AA48" s="97" t="s">
        <v>49</v>
      </c>
      <c r="AB48" s="82" t="s">
        <v>64</v>
      </c>
      <c r="AC48" s="82" t="s">
        <v>64</v>
      </c>
      <c r="AD48" s="82" t="s">
        <v>64</v>
      </c>
      <c r="AF48" s="82" t="s">
        <v>86</v>
      </c>
      <c r="AG48" s="82" t="s">
        <v>92</v>
      </c>
      <c r="AH48" s="82" t="s">
        <v>106</v>
      </c>
      <c r="AI48" s="82" t="s">
        <v>93</v>
      </c>
      <c r="AJ48" s="115">
        <v>3</v>
      </c>
      <c r="AK48" s="115" t="s">
        <v>85</v>
      </c>
      <c r="AL48" s="115" t="s">
        <v>85</v>
      </c>
      <c r="AM48" s="84" t="s">
        <v>76</v>
      </c>
      <c r="AN48" s="84" t="s">
        <v>520</v>
      </c>
      <c r="AO48" s="84" t="s">
        <v>1114</v>
      </c>
      <c r="AP48" s="68" t="s">
        <v>2227</v>
      </c>
      <c r="AQ48" s="82" t="s">
        <v>94</v>
      </c>
      <c r="AR48" s="86">
        <v>4</v>
      </c>
      <c r="AS48" s="86">
        <v>5</v>
      </c>
      <c r="AT48" s="86"/>
      <c r="AU48" s="86"/>
      <c r="AV48" s="88">
        <v>0.8571428571428571</v>
      </c>
      <c r="AX48" s="82" t="s">
        <v>80</v>
      </c>
      <c r="AY48" s="86">
        <v>3</v>
      </c>
      <c r="AZ48" s="86" t="s">
        <v>193</v>
      </c>
      <c r="BA48" s="86" t="s">
        <v>207</v>
      </c>
      <c r="BB48" s="86"/>
      <c r="BD48" s="83" t="s">
        <v>124</v>
      </c>
      <c r="BE48" s="82" t="s">
        <v>182</v>
      </c>
      <c r="BF48" s="83" t="s">
        <v>1751</v>
      </c>
      <c r="BG48" s="82" t="s">
        <v>21</v>
      </c>
      <c r="BH48" s="82" t="s">
        <v>81</v>
      </c>
      <c r="BI48" s="84" t="s">
        <v>231</v>
      </c>
      <c r="BJ48" s="89">
        <f>14/12</f>
        <v>1.1666666666666667</v>
      </c>
      <c r="BK48" s="84" t="s">
        <v>192</v>
      </c>
      <c r="BL48" s="84" t="s">
        <v>192</v>
      </c>
      <c r="BM48" s="88">
        <v>1.1666666666666667</v>
      </c>
      <c r="BN48" s="82" t="s">
        <v>379</v>
      </c>
      <c r="BO48" s="82" t="s">
        <v>191</v>
      </c>
      <c r="BP48" s="82" t="s">
        <v>195</v>
      </c>
      <c r="BQ48" s="116"/>
      <c r="BR48" s="82" t="s">
        <v>1749</v>
      </c>
      <c r="BS48" s="82" t="s">
        <v>2167</v>
      </c>
      <c r="BT48" s="82" t="s">
        <v>572</v>
      </c>
      <c r="BU48" s="86">
        <v>6.11</v>
      </c>
      <c r="BV48" s="86">
        <v>0.76</v>
      </c>
      <c r="BW48" s="90">
        <v>1.32</v>
      </c>
      <c r="BX48" s="86">
        <v>3</v>
      </c>
      <c r="BY48" s="86">
        <v>3</v>
      </c>
      <c r="BZ48" s="82" t="s">
        <v>194</v>
      </c>
      <c r="CB48" s="82" t="s">
        <v>80</v>
      </c>
      <c r="CC48" s="86">
        <v>8.49</v>
      </c>
      <c r="CD48" s="86">
        <v>2.2599999999999998</v>
      </c>
      <c r="CE48" s="90">
        <v>3.91</v>
      </c>
      <c r="CF48" s="86">
        <v>3</v>
      </c>
      <c r="CG48" s="86">
        <v>3</v>
      </c>
      <c r="CH48" s="82" t="s">
        <v>194</v>
      </c>
      <c r="CI48" s="79" t="s">
        <v>413</v>
      </c>
      <c r="CK48" s="86"/>
      <c r="CL48" s="86"/>
      <c r="CM48" s="86"/>
      <c r="CN48" s="86"/>
      <c r="CO48" s="86"/>
      <c r="CS48" s="86"/>
      <c r="CT48" s="86"/>
      <c r="CU48" s="86"/>
      <c r="CV48" s="86"/>
      <c r="CW48" s="86"/>
      <c r="DY48" s="86"/>
      <c r="DZ48" s="86"/>
      <c r="EA48" s="86"/>
      <c r="EB48" s="86"/>
      <c r="EC48" s="86"/>
      <c r="EG48" s="86"/>
      <c r="EH48" s="86"/>
      <c r="EI48" s="86"/>
      <c r="EJ48" s="86"/>
      <c r="EK48" s="86"/>
      <c r="EN48" s="86">
        <f>BU48</f>
        <v>6.11</v>
      </c>
      <c r="EO48" s="90">
        <f t="shared" ref="EO48:EQ50" si="48">BW48</f>
        <v>1.32</v>
      </c>
      <c r="EP48" s="86">
        <f t="shared" si="48"/>
        <v>3</v>
      </c>
      <c r="EQ48" s="86">
        <f t="shared" si="48"/>
        <v>3</v>
      </c>
      <c r="ER48" s="86">
        <f>CC48</f>
        <v>8.49</v>
      </c>
      <c r="ES48" s="90">
        <f t="shared" ref="ES48:EU50" si="49">CE48</f>
        <v>3.91</v>
      </c>
      <c r="ET48" s="86">
        <f t="shared" si="49"/>
        <v>3</v>
      </c>
      <c r="EU48" s="86">
        <f t="shared" si="49"/>
        <v>3</v>
      </c>
      <c r="EV48" s="86">
        <f t="shared" si="39"/>
        <v>2.9180901288342693</v>
      </c>
      <c r="EW48" s="86">
        <f t="shared" si="40"/>
        <v>-0.81560195022172677</v>
      </c>
      <c r="EX48" s="86">
        <f t="shared" si="41"/>
        <v>0.72210054510045696</v>
      </c>
      <c r="EY48" s="86">
        <f t="shared" si="42"/>
        <v>0.8</v>
      </c>
      <c r="EZ48" s="83">
        <f t="shared" si="43"/>
        <v>-0.65248156017738146</v>
      </c>
      <c r="FA48" s="83">
        <f t="shared" si="44"/>
        <v>0.46214434886429256</v>
      </c>
      <c r="FB48" s="83">
        <f t="shared" si="45"/>
        <v>6</v>
      </c>
      <c r="FC48" s="82" t="s">
        <v>460</v>
      </c>
    </row>
    <row r="49" spans="1:160" s="82" customFormat="1" ht="17.100000000000001" customHeight="1">
      <c r="A49" s="78" t="s">
        <v>84</v>
      </c>
      <c r="B49" s="79" t="s">
        <v>1450</v>
      </c>
      <c r="C49" s="80" t="str">
        <f t="shared" si="10"/>
        <v>Rodríguez, A., &amp; Kouki, J. 2015.  Emulating natural disturbance in forest management enhances pollination services for dominant Vaccinium shrubs in boreal pine-dominated forests. Forest Ecology and Management. 350: 1-12.</v>
      </c>
      <c r="D49" s="81" t="s">
        <v>1496</v>
      </c>
      <c r="E49" s="81">
        <v>2015</v>
      </c>
      <c r="F49" s="79" t="s">
        <v>451</v>
      </c>
      <c r="G49" s="79" t="s">
        <v>20</v>
      </c>
      <c r="H49" s="81">
        <v>350</v>
      </c>
      <c r="I49" s="81" t="s">
        <v>316</v>
      </c>
      <c r="J49" s="82" t="s">
        <v>1568</v>
      </c>
      <c r="K49" s="82" t="s">
        <v>404</v>
      </c>
      <c r="L49" s="82" t="s">
        <v>101</v>
      </c>
      <c r="M49" s="83" t="s">
        <v>73</v>
      </c>
      <c r="N49" s="82" t="s">
        <v>389</v>
      </c>
      <c r="P49" s="81" t="s">
        <v>44</v>
      </c>
      <c r="Q49" s="79" t="s">
        <v>45</v>
      </c>
      <c r="R49" s="79" t="s">
        <v>46</v>
      </c>
      <c r="S49" s="79" t="s">
        <v>84</v>
      </c>
      <c r="T49" s="79" t="s">
        <v>47</v>
      </c>
      <c r="U49" s="63" t="s">
        <v>108</v>
      </c>
      <c r="V49" s="81">
        <v>63.17</v>
      </c>
      <c r="W49" s="64">
        <v>30.670000000000016</v>
      </c>
      <c r="X49" s="64"/>
      <c r="Y49" s="66" t="s">
        <v>1895</v>
      </c>
      <c r="Z49" s="66" t="s">
        <v>2203</v>
      </c>
      <c r="AA49" s="83" t="s">
        <v>49</v>
      </c>
      <c r="AB49" s="82" t="s">
        <v>103</v>
      </c>
      <c r="AC49" s="82" t="s">
        <v>137</v>
      </c>
      <c r="AD49" s="82" t="s">
        <v>64</v>
      </c>
      <c r="AE49" s="79" t="s">
        <v>48</v>
      </c>
      <c r="AF49" s="82" t="s">
        <v>64</v>
      </c>
      <c r="AG49" s="82" t="s">
        <v>91</v>
      </c>
      <c r="AH49" s="82" t="s">
        <v>106</v>
      </c>
      <c r="AI49" s="82" t="s">
        <v>276</v>
      </c>
      <c r="AJ49" s="115">
        <v>3</v>
      </c>
      <c r="AK49" s="115">
        <v>1</v>
      </c>
      <c r="AL49" s="115">
        <v>1</v>
      </c>
      <c r="AM49" s="84" t="s">
        <v>76</v>
      </c>
      <c r="AN49" s="84" t="s">
        <v>520</v>
      </c>
      <c r="AO49" s="84" t="s">
        <v>1114</v>
      </c>
      <c r="AP49" s="68" t="s">
        <v>2227</v>
      </c>
      <c r="AQ49" s="63" t="s">
        <v>94</v>
      </c>
      <c r="AR49" s="86">
        <v>1</v>
      </c>
      <c r="AS49" s="86">
        <v>1</v>
      </c>
      <c r="AT49" s="86" t="s">
        <v>405</v>
      </c>
      <c r="AU49" s="87"/>
      <c r="AV49" s="88">
        <v>8.3333333333333329E-2</v>
      </c>
      <c r="AW49" s="82" t="s">
        <v>406</v>
      </c>
      <c r="AX49" s="82" t="s">
        <v>80</v>
      </c>
      <c r="AY49" s="86">
        <v>3</v>
      </c>
      <c r="AZ49" s="86">
        <v>1</v>
      </c>
      <c r="BA49" s="86">
        <v>1</v>
      </c>
      <c r="BB49" s="86" t="s">
        <v>405</v>
      </c>
      <c r="BC49" s="82" t="s">
        <v>406</v>
      </c>
      <c r="BD49" s="83" t="s">
        <v>124</v>
      </c>
      <c r="BE49" s="82" t="s">
        <v>182</v>
      </c>
      <c r="BF49" s="83" t="s">
        <v>118</v>
      </c>
      <c r="BG49" s="82" t="s">
        <v>21</v>
      </c>
      <c r="BH49" s="82" t="s">
        <v>81</v>
      </c>
      <c r="BI49" s="84" t="s">
        <v>76</v>
      </c>
      <c r="BJ49" s="89">
        <f t="shared" ref="BJ49:BJ56" si="50">BK49/12</f>
        <v>12</v>
      </c>
      <c r="BK49" s="84">
        <f>12*12</f>
        <v>144</v>
      </c>
      <c r="BL49" s="84">
        <f>12*12</f>
        <v>144</v>
      </c>
      <c r="BM49" s="88">
        <v>12</v>
      </c>
      <c r="BN49" s="82" t="s">
        <v>379</v>
      </c>
      <c r="BO49" s="82" t="s">
        <v>2212</v>
      </c>
      <c r="BP49" s="82" t="s">
        <v>64</v>
      </c>
      <c r="BS49" s="82" t="s">
        <v>1136</v>
      </c>
      <c r="BT49" s="82" t="s">
        <v>72</v>
      </c>
      <c r="BU49" s="86">
        <v>9.33</v>
      </c>
      <c r="BV49" s="86">
        <v>1.76</v>
      </c>
      <c r="BW49" s="90">
        <v>3.048</v>
      </c>
      <c r="BX49" s="86">
        <v>3</v>
      </c>
      <c r="BY49" s="86">
        <v>3</v>
      </c>
      <c r="BZ49" s="82" t="s">
        <v>409</v>
      </c>
      <c r="CA49" s="82" t="s">
        <v>410</v>
      </c>
      <c r="CB49" s="82" t="s">
        <v>80</v>
      </c>
      <c r="CC49" s="86" t="s">
        <v>407</v>
      </c>
      <c r="CD49" s="86" t="s">
        <v>408</v>
      </c>
      <c r="CE49" s="69">
        <v>4.5030000000000001</v>
      </c>
      <c r="CF49" s="86">
        <v>3</v>
      </c>
      <c r="CG49" s="86">
        <v>3</v>
      </c>
      <c r="CH49" s="82" t="s">
        <v>409</v>
      </c>
      <c r="CI49" s="82" t="s">
        <v>410</v>
      </c>
      <c r="CK49" s="86"/>
      <c r="CL49" s="86"/>
      <c r="CM49" s="86"/>
      <c r="CN49" s="86"/>
      <c r="CO49" s="86"/>
      <c r="CS49" s="86"/>
      <c r="CT49" s="86"/>
      <c r="CU49" s="86"/>
      <c r="CV49" s="86"/>
      <c r="CW49" s="86"/>
      <c r="DY49" s="86"/>
      <c r="DZ49" s="86"/>
      <c r="EA49" s="86"/>
      <c r="EB49" s="86"/>
      <c r="EC49" s="86"/>
      <c r="EG49" s="86"/>
      <c r="EH49" s="86"/>
      <c r="EI49" s="86"/>
      <c r="EJ49" s="86"/>
      <c r="EK49" s="86"/>
      <c r="EN49" s="86">
        <f>BU49</f>
        <v>9.33</v>
      </c>
      <c r="EO49" s="90">
        <f t="shared" si="48"/>
        <v>3.048</v>
      </c>
      <c r="EP49" s="86">
        <f t="shared" si="48"/>
        <v>3</v>
      </c>
      <c r="EQ49" s="86">
        <f t="shared" si="48"/>
        <v>3</v>
      </c>
      <c r="ER49" s="86" t="str">
        <f>CC49</f>
        <v>4.33</v>
      </c>
      <c r="ES49" s="90">
        <f t="shared" si="49"/>
        <v>4.5030000000000001</v>
      </c>
      <c r="ET49" s="86">
        <f t="shared" si="49"/>
        <v>3</v>
      </c>
      <c r="EU49" s="86">
        <f t="shared" si="49"/>
        <v>3</v>
      </c>
      <c r="EV49" s="86">
        <f t="shared" si="39"/>
        <v>3.8449520803255792</v>
      </c>
      <c r="EW49" s="86">
        <f t="shared" si="40"/>
        <v>1.3004063238095322</v>
      </c>
      <c r="EX49" s="86">
        <f t="shared" si="41"/>
        <v>0.8075880505836518</v>
      </c>
      <c r="EY49" s="86">
        <f t="shared" si="42"/>
        <v>0.8</v>
      </c>
      <c r="EZ49" s="83">
        <f t="shared" si="43"/>
        <v>1.0403250590476258</v>
      </c>
      <c r="FA49" s="83">
        <f t="shared" si="44"/>
        <v>0.51685635237353722</v>
      </c>
      <c r="FB49" s="83">
        <f t="shared" si="45"/>
        <v>6</v>
      </c>
      <c r="FC49" s="82" t="s">
        <v>125</v>
      </c>
    </row>
    <row r="50" spans="1:160" s="82" customFormat="1" ht="17.100000000000001" customHeight="1">
      <c r="A50" s="78" t="s">
        <v>84</v>
      </c>
      <c r="B50" s="91" t="s">
        <v>1433</v>
      </c>
      <c r="C50" s="80" t="str">
        <f t="shared" si="10"/>
        <v>Hämäläinen, A., Kouki, J., &amp; Lõhmus, P.  2015.  Potential biodiversity impacts of forest biofuel harvest: Lichen assemblages on stumps and slash of Scots pine. Canadian Journal of Forest Research. 45 (10): 1239-1247.</v>
      </c>
      <c r="D50" s="91" t="s">
        <v>1517</v>
      </c>
      <c r="E50" s="91">
        <v>2015</v>
      </c>
      <c r="F50" s="91" t="s">
        <v>1550</v>
      </c>
      <c r="G50" s="91" t="s">
        <v>173</v>
      </c>
      <c r="H50" s="91" t="s">
        <v>1096</v>
      </c>
      <c r="I50" s="91" t="s">
        <v>1097</v>
      </c>
      <c r="J50" s="82" t="s">
        <v>1568</v>
      </c>
      <c r="K50" s="92" t="s">
        <v>1098</v>
      </c>
      <c r="L50" s="84" t="s">
        <v>101</v>
      </c>
      <c r="M50" s="93" t="s">
        <v>73</v>
      </c>
      <c r="N50" s="84" t="s">
        <v>389</v>
      </c>
      <c r="O50" s="84"/>
      <c r="P50" s="91" t="s">
        <v>44</v>
      </c>
      <c r="Q50" s="91" t="s">
        <v>1099</v>
      </c>
      <c r="R50" s="91" t="s">
        <v>64</v>
      </c>
      <c r="S50" s="91" t="s">
        <v>64</v>
      </c>
      <c r="T50" s="91" t="s">
        <v>1432</v>
      </c>
      <c r="U50" s="91" t="s">
        <v>1439</v>
      </c>
      <c r="V50" s="91">
        <v>63.3</v>
      </c>
      <c r="W50" s="91">
        <v>30.629999999999995</v>
      </c>
      <c r="X50" s="91"/>
      <c r="Y50" s="66" t="s">
        <v>1895</v>
      </c>
      <c r="Z50" s="66" t="s">
        <v>2203</v>
      </c>
      <c r="AA50" s="95" t="s">
        <v>49</v>
      </c>
      <c r="AB50" s="81" t="s">
        <v>64</v>
      </c>
      <c r="AC50" s="84" t="s">
        <v>137</v>
      </c>
      <c r="AD50" s="84"/>
      <c r="AE50" s="84"/>
      <c r="AF50" s="84" t="s">
        <v>86</v>
      </c>
      <c r="AG50" s="84" t="s">
        <v>92</v>
      </c>
      <c r="AH50" s="84" t="s">
        <v>106</v>
      </c>
      <c r="AI50" s="84" t="s">
        <v>93</v>
      </c>
      <c r="AJ50" s="115">
        <v>3</v>
      </c>
      <c r="AK50" s="115">
        <v>1</v>
      </c>
      <c r="AL50" s="115">
        <v>1</v>
      </c>
      <c r="AM50" s="84" t="s">
        <v>64</v>
      </c>
      <c r="AN50" s="84" t="s">
        <v>1021</v>
      </c>
      <c r="AO50" s="84" t="s">
        <v>1114</v>
      </c>
      <c r="AP50" s="68" t="s">
        <v>2227</v>
      </c>
      <c r="AQ50" s="84" t="s">
        <v>64</v>
      </c>
      <c r="AR50" s="86">
        <v>1</v>
      </c>
      <c r="AS50" s="87" t="s">
        <v>193</v>
      </c>
      <c r="AT50" s="86"/>
      <c r="AU50" s="87"/>
      <c r="AV50" s="88">
        <v>8.3333333333333329E-2</v>
      </c>
      <c r="AW50" s="84"/>
      <c r="AX50" s="84" t="s">
        <v>80</v>
      </c>
      <c r="AY50" s="86">
        <v>3</v>
      </c>
      <c r="AZ50" s="86">
        <v>1</v>
      </c>
      <c r="BA50" s="87" t="s">
        <v>193</v>
      </c>
      <c r="BB50" s="86"/>
      <c r="BC50" s="84"/>
      <c r="BD50" s="93" t="s">
        <v>124</v>
      </c>
      <c r="BE50" s="84" t="s">
        <v>182</v>
      </c>
      <c r="BF50" s="93" t="s">
        <v>113</v>
      </c>
      <c r="BG50" s="84" t="s">
        <v>21</v>
      </c>
      <c r="BH50" s="84" t="s">
        <v>81</v>
      </c>
      <c r="BI50" s="84" t="s">
        <v>1100</v>
      </c>
      <c r="BJ50" s="89">
        <f t="shared" si="50"/>
        <v>12</v>
      </c>
      <c r="BK50" s="84">
        <v>144</v>
      </c>
      <c r="BL50" s="84">
        <v>144</v>
      </c>
      <c r="BM50" s="88">
        <v>12</v>
      </c>
      <c r="BN50" s="84" t="s">
        <v>379</v>
      </c>
      <c r="BO50" s="84" t="s">
        <v>856</v>
      </c>
      <c r="BP50" s="84" t="s">
        <v>64</v>
      </c>
      <c r="BQ50" s="117"/>
      <c r="BR50" s="84" t="s">
        <v>1775</v>
      </c>
      <c r="BS50" s="84" t="s">
        <v>114</v>
      </c>
      <c r="BT50" s="84" t="s">
        <v>572</v>
      </c>
      <c r="BU50" s="86">
        <v>53.39</v>
      </c>
      <c r="BV50" s="86"/>
      <c r="BW50" s="90">
        <v>17.439481070261238</v>
      </c>
      <c r="BX50" s="86">
        <v>3</v>
      </c>
      <c r="BY50" s="86">
        <v>3</v>
      </c>
      <c r="BZ50" s="84" t="s">
        <v>1776</v>
      </c>
      <c r="CA50" s="84" t="s">
        <v>1101</v>
      </c>
      <c r="CB50" s="84" t="s">
        <v>80</v>
      </c>
      <c r="CC50" s="86">
        <v>47.46</v>
      </c>
      <c r="CD50" s="86"/>
      <c r="CE50" s="90">
        <v>12.959282387539828</v>
      </c>
      <c r="CF50" s="86">
        <v>3</v>
      </c>
      <c r="CG50" s="86">
        <v>3</v>
      </c>
      <c r="CH50" s="84" t="s">
        <v>1776</v>
      </c>
      <c r="CI50" s="84" t="s">
        <v>1101</v>
      </c>
      <c r="CJ50" s="84"/>
      <c r="CK50" s="86"/>
      <c r="CL50" s="86"/>
      <c r="CM50" s="86"/>
      <c r="CN50" s="86"/>
      <c r="CO50" s="86"/>
      <c r="CP50" s="84"/>
      <c r="CQ50" s="84"/>
      <c r="CR50" s="84"/>
      <c r="CS50" s="86"/>
      <c r="CT50" s="86"/>
      <c r="CU50" s="86"/>
      <c r="CV50" s="86"/>
      <c r="CW50" s="86"/>
      <c r="CX50" s="84"/>
      <c r="CY50" s="84"/>
      <c r="CZ50" s="84"/>
      <c r="DF50" s="84"/>
      <c r="DG50" s="84"/>
      <c r="DH50" s="84"/>
      <c r="DO50" s="84"/>
      <c r="DP50" s="84"/>
      <c r="DV50" s="84"/>
      <c r="DW50" s="84"/>
      <c r="DX50" s="84"/>
      <c r="DY50" s="86"/>
      <c r="DZ50" s="86"/>
      <c r="EA50" s="86"/>
      <c r="EB50" s="86"/>
      <c r="EC50" s="86"/>
      <c r="ED50" s="84"/>
      <c r="EE50" s="84"/>
      <c r="EF50" s="84"/>
      <c r="EG50" s="86"/>
      <c r="EH50" s="86"/>
      <c r="EI50" s="86"/>
      <c r="EJ50" s="86"/>
      <c r="EK50" s="86"/>
      <c r="EL50" s="84"/>
      <c r="EM50" s="84"/>
      <c r="EN50" s="86">
        <f>BU50</f>
        <v>53.39</v>
      </c>
      <c r="EO50" s="90">
        <f t="shared" si="48"/>
        <v>17.439481070261238</v>
      </c>
      <c r="EP50" s="86">
        <f t="shared" si="48"/>
        <v>3</v>
      </c>
      <c r="EQ50" s="86">
        <f t="shared" si="48"/>
        <v>3</v>
      </c>
      <c r="ER50" s="86">
        <f>CC50</f>
        <v>47.46</v>
      </c>
      <c r="ES50" s="90">
        <f t="shared" si="49"/>
        <v>12.959282387539828</v>
      </c>
      <c r="ET50" s="86">
        <f t="shared" si="49"/>
        <v>3</v>
      </c>
      <c r="EU50" s="86">
        <f t="shared" si="49"/>
        <v>3</v>
      </c>
      <c r="EV50" s="86">
        <f t="shared" si="39"/>
        <v>15.363568921315126</v>
      </c>
      <c r="EW50" s="86">
        <f t="shared" si="40"/>
        <v>0.38597802570292306</v>
      </c>
      <c r="EX50" s="86">
        <f t="shared" si="41"/>
        <v>0.67908158636046045</v>
      </c>
      <c r="EY50" s="86">
        <f t="shared" si="42"/>
        <v>0.8</v>
      </c>
      <c r="EZ50" s="83">
        <f t="shared" si="43"/>
        <v>0.30878242056233846</v>
      </c>
      <c r="FA50" s="83">
        <f t="shared" si="44"/>
        <v>0.43461221527069477</v>
      </c>
      <c r="FB50" s="83">
        <f t="shared" si="45"/>
        <v>6</v>
      </c>
      <c r="FC50" s="84" t="s">
        <v>385</v>
      </c>
    </row>
    <row r="51" spans="1:160" s="82" customFormat="1" ht="17.100000000000001" customHeight="1">
      <c r="A51" s="78" t="s">
        <v>84</v>
      </c>
      <c r="B51" s="91" t="s">
        <v>1521</v>
      </c>
      <c r="C51" s="80" t="str">
        <f t="shared" si="10"/>
        <v>Hyvärinen, E., Kouki, J., Martikainen, P., &amp; Lappalainen, H.  2005.  Short-term effects of controlled burning and green-tree retention on beetle (Coleoptera) assemblages in managed boreal forests.. Forest Ecology and Management. 212: 315-332.</v>
      </c>
      <c r="D51" s="91" t="s">
        <v>1520</v>
      </c>
      <c r="E51" s="91">
        <v>2005</v>
      </c>
      <c r="F51" s="91" t="s">
        <v>1122</v>
      </c>
      <c r="G51" s="91" t="s">
        <v>20</v>
      </c>
      <c r="H51" s="91">
        <v>212</v>
      </c>
      <c r="I51" s="91" t="s">
        <v>1123</v>
      </c>
      <c r="J51" s="81" t="s">
        <v>1567</v>
      </c>
      <c r="K51" s="92" t="s">
        <v>1124</v>
      </c>
      <c r="L51" s="84" t="s">
        <v>18</v>
      </c>
      <c r="M51" s="93" t="s">
        <v>73</v>
      </c>
      <c r="N51" s="84" t="s">
        <v>389</v>
      </c>
      <c r="O51" s="84"/>
      <c r="P51" s="91" t="s">
        <v>44</v>
      </c>
      <c r="Q51" s="91" t="s">
        <v>45</v>
      </c>
      <c r="R51" s="91" t="s">
        <v>46</v>
      </c>
      <c r="S51" s="91" t="s">
        <v>84</v>
      </c>
      <c r="T51" s="91" t="s">
        <v>47</v>
      </c>
      <c r="U51" s="91" t="s">
        <v>108</v>
      </c>
      <c r="V51" s="91">
        <v>63.17</v>
      </c>
      <c r="W51" s="91">
        <v>30.670000000000016</v>
      </c>
      <c r="X51" s="91"/>
      <c r="Y51" s="66" t="s">
        <v>1895</v>
      </c>
      <c r="Z51" s="66" t="s">
        <v>2203</v>
      </c>
      <c r="AA51" s="95" t="s">
        <v>49</v>
      </c>
      <c r="AB51" s="81" t="s">
        <v>64</v>
      </c>
      <c r="AC51" s="84" t="s">
        <v>137</v>
      </c>
      <c r="AD51" s="84"/>
      <c r="AE51" s="84"/>
      <c r="AF51" s="84" t="s">
        <v>86</v>
      </c>
      <c r="AG51" s="84" t="s">
        <v>92</v>
      </c>
      <c r="AH51" s="84" t="s">
        <v>156</v>
      </c>
      <c r="AI51" s="84" t="s">
        <v>93</v>
      </c>
      <c r="AJ51" s="115">
        <v>3</v>
      </c>
      <c r="AK51" s="86">
        <v>1</v>
      </c>
      <c r="AL51" s="86">
        <v>1</v>
      </c>
      <c r="AM51" s="84" t="s">
        <v>76</v>
      </c>
      <c r="AN51" s="84" t="s">
        <v>1021</v>
      </c>
      <c r="AO51" s="84" t="s">
        <v>1114</v>
      </c>
      <c r="AP51" s="68" t="s">
        <v>2227</v>
      </c>
      <c r="AQ51" s="84" t="s">
        <v>88</v>
      </c>
      <c r="AR51" s="86">
        <v>1</v>
      </c>
      <c r="AS51" s="87" t="s">
        <v>226</v>
      </c>
      <c r="AT51" s="86"/>
      <c r="AU51" s="87"/>
      <c r="AV51" s="88">
        <v>1</v>
      </c>
      <c r="AW51" s="84"/>
      <c r="AX51" s="84" t="s">
        <v>80</v>
      </c>
      <c r="AY51" s="86">
        <v>3</v>
      </c>
      <c r="AZ51" s="86">
        <v>1</v>
      </c>
      <c r="BA51" s="87" t="s">
        <v>226</v>
      </c>
      <c r="BB51" s="86"/>
      <c r="BC51" s="84"/>
      <c r="BD51" s="93" t="s">
        <v>124</v>
      </c>
      <c r="BE51" s="84" t="s">
        <v>182</v>
      </c>
      <c r="BF51" s="83" t="s">
        <v>1752</v>
      </c>
      <c r="BG51" s="84" t="s">
        <v>21</v>
      </c>
      <c r="BH51" s="84" t="s">
        <v>81</v>
      </c>
      <c r="BI51" s="84" t="s">
        <v>960</v>
      </c>
      <c r="BJ51" s="89">
        <f t="shared" si="50"/>
        <v>8.3333333333333329E-2</v>
      </c>
      <c r="BK51" s="84">
        <v>1</v>
      </c>
      <c r="BL51" s="84">
        <v>1</v>
      </c>
      <c r="BM51" s="88">
        <v>8.3333333333333329E-2</v>
      </c>
      <c r="BN51" s="84" t="s">
        <v>379</v>
      </c>
      <c r="BO51" s="84" t="s">
        <v>1125</v>
      </c>
      <c r="BP51" s="84" t="s">
        <v>96</v>
      </c>
      <c r="BQ51" s="84"/>
      <c r="BR51" s="84" t="s">
        <v>1126</v>
      </c>
      <c r="BS51" s="84" t="s">
        <v>2173</v>
      </c>
      <c r="BT51" s="84"/>
      <c r="BU51" s="86"/>
      <c r="BV51" s="86"/>
      <c r="BW51" s="90"/>
      <c r="BX51" s="86"/>
      <c r="BY51" s="86"/>
      <c r="BZ51" s="84"/>
      <c r="CA51" s="84"/>
      <c r="CB51" s="84"/>
      <c r="CC51" s="86"/>
      <c r="CD51" s="86"/>
      <c r="CE51" s="90"/>
      <c r="CF51" s="86"/>
      <c r="CG51" s="86"/>
      <c r="CH51" s="84"/>
      <c r="CI51" s="84"/>
      <c r="CJ51" s="84"/>
      <c r="CK51" s="86"/>
      <c r="CL51" s="86"/>
      <c r="CM51" s="86"/>
      <c r="CN51" s="86"/>
      <c r="CO51" s="86"/>
      <c r="CP51" s="84"/>
      <c r="CQ51" s="84"/>
      <c r="CR51" s="84"/>
      <c r="CS51" s="86"/>
      <c r="CT51" s="86"/>
      <c r="CU51" s="86"/>
      <c r="CV51" s="86"/>
      <c r="CW51" s="86"/>
      <c r="CX51" s="84"/>
      <c r="CY51" s="84"/>
      <c r="CZ51" s="84"/>
      <c r="DF51" s="84"/>
      <c r="DG51" s="84"/>
      <c r="DH51" s="84"/>
      <c r="DO51" s="84"/>
      <c r="DP51" s="84"/>
      <c r="DV51" s="84"/>
      <c r="DW51" s="84"/>
      <c r="DX51" s="84" t="s">
        <v>572</v>
      </c>
      <c r="DY51" s="86">
        <v>-0.47</v>
      </c>
      <c r="DZ51" s="86">
        <v>1.62</v>
      </c>
      <c r="EA51" s="86">
        <v>2.8059223082615814</v>
      </c>
      <c r="EB51" s="86">
        <v>3</v>
      </c>
      <c r="EC51" s="86">
        <v>3</v>
      </c>
      <c r="ED51" s="84" t="s">
        <v>186</v>
      </c>
      <c r="EE51" s="84"/>
      <c r="EF51" s="84" t="s">
        <v>80</v>
      </c>
      <c r="EG51" s="86">
        <v>-10.72</v>
      </c>
      <c r="EH51" s="86">
        <v>5.37</v>
      </c>
      <c r="EI51" s="86">
        <v>9.3011128366448705</v>
      </c>
      <c r="EJ51" s="86">
        <v>3</v>
      </c>
      <c r="EK51" s="86">
        <v>3</v>
      </c>
      <c r="EL51" s="84" t="s">
        <v>186</v>
      </c>
      <c r="EM51" s="84"/>
      <c r="EN51" s="86">
        <f>DY51</f>
        <v>-0.47</v>
      </c>
      <c r="EO51" s="86">
        <f t="shared" ref="EO51:EQ54" si="51">EA51</f>
        <v>2.8059223082615814</v>
      </c>
      <c r="EP51" s="86">
        <f t="shared" si="51"/>
        <v>3</v>
      </c>
      <c r="EQ51" s="86">
        <f t="shared" si="51"/>
        <v>3</v>
      </c>
      <c r="ER51" s="86">
        <f>EG51</f>
        <v>-10.72</v>
      </c>
      <c r="ES51" s="86">
        <f t="shared" ref="ES51:EU54" si="52">EI51</f>
        <v>9.3011128366448705</v>
      </c>
      <c r="ET51" s="86">
        <f t="shared" si="52"/>
        <v>3</v>
      </c>
      <c r="EU51" s="86">
        <f t="shared" si="52"/>
        <v>3</v>
      </c>
      <c r="EV51" s="86">
        <f t="shared" si="39"/>
        <v>6.8696397285447208</v>
      </c>
      <c r="EW51" s="86">
        <f t="shared" si="40"/>
        <v>1.4920724237414096</v>
      </c>
      <c r="EX51" s="86">
        <f t="shared" si="41"/>
        <v>0.85219000980746362</v>
      </c>
      <c r="EY51" s="86">
        <f t="shared" si="42"/>
        <v>0.8</v>
      </c>
      <c r="EZ51" s="83">
        <f t="shared" si="43"/>
        <v>1.1936579389931277</v>
      </c>
      <c r="FA51" s="83">
        <f t="shared" si="44"/>
        <v>0.54540160627677681</v>
      </c>
      <c r="FB51" s="83">
        <f t="shared" si="45"/>
        <v>6</v>
      </c>
      <c r="FC51" s="84" t="s">
        <v>385</v>
      </c>
    </row>
    <row r="52" spans="1:160" s="82" customFormat="1" ht="17.100000000000001" customHeight="1">
      <c r="A52" s="78" t="s">
        <v>1854</v>
      </c>
      <c r="B52" s="91" t="s">
        <v>310</v>
      </c>
      <c r="C52" s="80" t="str">
        <f t="shared" si="10"/>
        <v>Foster, C. N., Barton, P. S., Sato, C. F., MacGregor, C. I., &amp; Lindenmayer, D. B. 2015.  Synergistic interactions between fire and browsing drive plant diversity in a forest understorey. Journal of Vegetation Science. 26 (6): 1112-1123.</v>
      </c>
      <c r="D52" s="91" t="s">
        <v>1524</v>
      </c>
      <c r="E52" s="91">
        <v>2015</v>
      </c>
      <c r="F52" s="91" t="s">
        <v>1553</v>
      </c>
      <c r="G52" s="91" t="s">
        <v>1527</v>
      </c>
      <c r="H52" s="91" t="s">
        <v>918</v>
      </c>
      <c r="I52" s="92" t="s">
        <v>1224</v>
      </c>
      <c r="J52" s="84"/>
      <c r="K52" s="91" t="s">
        <v>1225</v>
      </c>
      <c r="L52" s="91" t="s">
        <v>18</v>
      </c>
      <c r="M52" s="93" t="s">
        <v>164</v>
      </c>
      <c r="N52" s="84" t="s">
        <v>389</v>
      </c>
      <c r="O52" s="84"/>
      <c r="P52" s="91" t="s">
        <v>162</v>
      </c>
      <c r="Q52" s="91" t="s">
        <v>1140</v>
      </c>
      <c r="R52" s="91" t="s">
        <v>1226</v>
      </c>
      <c r="S52" s="91"/>
      <c r="T52" s="91" t="s">
        <v>1442</v>
      </c>
      <c r="U52" s="91" t="s">
        <v>1443</v>
      </c>
      <c r="V52" s="81">
        <v>-35.160000000000025</v>
      </c>
      <c r="W52" s="91">
        <v>150.66999999999999</v>
      </c>
      <c r="X52" s="84"/>
      <c r="Y52" s="66" t="s">
        <v>1898</v>
      </c>
      <c r="Z52" s="66" t="s">
        <v>2202</v>
      </c>
      <c r="AA52" s="93" t="s">
        <v>555</v>
      </c>
      <c r="AB52" s="84" t="s">
        <v>64</v>
      </c>
      <c r="AC52" s="84" t="s">
        <v>235</v>
      </c>
      <c r="AD52" s="84" t="s">
        <v>1265</v>
      </c>
      <c r="AE52" s="84"/>
      <c r="AF52" s="84" t="s">
        <v>87</v>
      </c>
      <c r="AG52" s="84" t="s">
        <v>92</v>
      </c>
      <c r="AH52" s="84" t="s">
        <v>106</v>
      </c>
      <c r="AI52" s="84" t="s">
        <v>272</v>
      </c>
      <c r="AJ52" s="115">
        <v>4</v>
      </c>
      <c r="AK52" s="115">
        <v>1</v>
      </c>
      <c r="AL52" s="115">
        <v>1</v>
      </c>
      <c r="AM52" s="84" t="s">
        <v>569</v>
      </c>
      <c r="AN52" s="84" t="s">
        <v>531</v>
      </c>
      <c r="AO52" s="84" t="s">
        <v>1588</v>
      </c>
      <c r="AP52" s="68" t="s">
        <v>2228</v>
      </c>
      <c r="AQ52" s="84" t="s">
        <v>94</v>
      </c>
      <c r="AR52" s="86">
        <v>1</v>
      </c>
      <c r="AS52" s="86">
        <v>4</v>
      </c>
      <c r="AT52" s="84"/>
      <c r="AU52" s="87" t="s">
        <v>1233</v>
      </c>
      <c r="AV52" s="88">
        <v>0.5714285714285714</v>
      </c>
      <c r="AW52" s="84"/>
      <c r="AX52" s="84" t="s">
        <v>80</v>
      </c>
      <c r="AY52" s="86">
        <v>4</v>
      </c>
      <c r="AZ52" s="86">
        <v>1</v>
      </c>
      <c r="BA52" s="86">
        <v>4</v>
      </c>
      <c r="BB52" s="84"/>
      <c r="BC52" s="84"/>
      <c r="BD52" s="93" t="s">
        <v>124</v>
      </c>
      <c r="BE52" s="84" t="s">
        <v>182</v>
      </c>
      <c r="BF52" s="93" t="s">
        <v>110</v>
      </c>
      <c r="BG52" s="84" t="s">
        <v>21</v>
      </c>
      <c r="BH52" s="84" t="s">
        <v>22</v>
      </c>
      <c r="BI52" s="84" t="s">
        <v>1231</v>
      </c>
      <c r="BJ52" s="89">
        <f t="shared" si="50"/>
        <v>1.75</v>
      </c>
      <c r="BK52" s="84">
        <v>21</v>
      </c>
      <c r="BL52" s="84">
        <v>21</v>
      </c>
      <c r="BM52" s="88">
        <v>1.75</v>
      </c>
      <c r="BN52" s="84" t="s">
        <v>389</v>
      </c>
      <c r="BO52" s="84" t="s">
        <v>703</v>
      </c>
      <c r="BP52" s="84" t="s">
        <v>64</v>
      </c>
      <c r="BQ52" s="84"/>
      <c r="BR52" s="84" t="s">
        <v>1232</v>
      </c>
      <c r="BS52" s="84" t="s">
        <v>2133</v>
      </c>
      <c r="BT52" s="84"/>
      <c r="BU52" s="86"/>
      <c r="BV52" s="86"/>
      <c r="BW52" s="90"/>
      <c r="BX52" s="86"/>
      <c r="BY52" s="86"/>
      <c r="BZ52" s="84"/>
      <c r="CA52" s="84"/>
      <c r="CB52" s="84"/>
      <c r="CC52" s="86"/>
      <c r="CD52" s="86"/>
      <c r="CE52" s="90"/>
      <c r="CF52" s="86"/>
      <c r="CG52" s="86"/>
      <c r="CH52" s="84"/>
      <c r="CI52" s="84"/>
      <c r="CJ52" s="84"/>
      <c r="CK52" s="86"/>
      <c r="CL52" s="86"/>
      <c r="CM52" s="86"/>
      <c r="CN52" s="86"/>
      <c r="CO52" s="86"/>
      <c r="CP52" s="84"/>
      <c r="CQ52" s="84"/>
      <c r="CR52" s="84" t="s">
        <v>72</v>
      </c>
      <c r="CS52" s="67">
        <v>26</v>
      </c>
      <c r="CT52" s="86"/>
      <c r="CU52" s="67">
        <v>3.5590260840104371</v>
      </c>
      <c r="CV52" s="86">
        <v>4</v>
      </c>
      <c r="CW52" s="86">
        <v>4</v>
      </c>
      <c r="CX52" s="82" t="s">
        <v>1743</v>
      </c>
      <c r="CY52" s="82" t="s">
        <v>1748</v>
      </c>
      <c r="CZ52" s="82" t="s">
        <v>478</v>
      </c>
      <c r="DA52" s="82">
        <v>30</v>
      </c>
      <c r="DC52" s="82">
        <v>2.581988897</v>
      </c>
      <c r="DD52" s="82">
        <v>4</v>
      </c>
      <c r="DE52" s="82">
        <v>4</v>
      </c>
      <c r="DF52" s="82" t="s">
        <v>1743</v>
      </c>
      <c r="DG52" s="82" t="s">
        <v>1748</v>
      </c>
      <c r="DH52" s="82" t="s">
        <v>72</v>
      </c>
      <c r="DI52" s="63">
        <v>30.25</v>
      </c>
      <c r="DK52" s="63">
        <v>4.9916597106239795</v>
      </c>
      <c r="DL52" s="82">
        <v>4</v>
      </c>
      <c r="DM52" s="82">
        <v>4</v>
      </c>
      <c r="DN52" s="82" t="s">
        <v>1743</v>
      </c>
      <c r="DO52" s="82" t="s">
        <v>1748</v>
      </c>
      <c r="DP52" s="82" t="s">
        <v>80</v>
      </c>
      <c r="DQ52" s="63">
        <v>30</v>
      </c>
      <c r="DS52" s="63">
        <v>4.9665548085837798</v>
      </c>
      <c r="DT52" s="82">
        <v>4</v>
      </c>
      <c r="DU52" s="82">
        <v>4</v>
      </c>
      <c r="DV52" s="82" t="s">
        <v>1743</v>
      </c>
      <c r="DW52" s="82" t="s">
        <v>1748</v>
      </c>
      <c r="DX52" s="82" t="s">
        <v>1747</v>
      </c>
      <c r="DY52" s="86">
        <f>DI52-CS52</f>
        <v>4.25</v>
      </c>
      <c r="DZ52" s="86"/>
      <c r="EA52" s="86">
        <f>SQRT((CU52^2)+(DK52^2))</f>
        <v>6.1305247192498404</v>
      </c>
      <c r="EB52" s="86">
        <v>4</v>
      </c>
      <c r="EC52" s="86">
        <v>4</v>
      </c>
      <c r="ED52" s="82" t="s">
        <v>1743</v>
      </c>
      <c r="EE52" s="82" t="s">
        <v>1744</v>
      </c>
      <c r="EF52" s="82" t="s">
        <v>1746</v>
      </c>
      <c r="EG52" s="86">
        <f>DQ52-DA52</f>
        <v>0</v>
      </c>
      <c r="EH52" s="86"/>
      <c r="EI52" s="86">
        <f>SQRT((DS52^2)+(DC52^2))</f>
        <v>5.5976185410313501</v>
      </c>
      <c r="EJ52" s="86">
        <v>4</v>
      </c>
      <c r="EK52" s="86">
        <v>4</v>
      </c>
      <c r="EL52" s="82" t="s">
        <v>1743</v>
      </c>
      <c r="EM52" s="82" t="s">
        <v>1745</v>
      </c>
      <c r="EN52" s="86">
        <f>DY52</f>
        <v>4.25</v>
      </c>
      <c r="EO52" s="86">
        <f t="shared" si="51"/>
        <v>6.1305247192498404</v>
      </c>
      <c r="EP52" s="86">
        <f t="shared" si="51"/>
        <v>4</v>
      </c>
      <c r="EQ52" s="86">
        <f t="shared" si="51"/>
        <v>4</v>
      </c>
      <c r="ER52" s="86">
        <f>EG52</f>
        <v>0</v>
      </c>
      <c r="ES52" s="86">
        <f t="shared" si="52"/>
        <v>5.5976185410313501</v>
      </c>
      <c r="ET52" s="86">
        <f t="shared" si="52"/>
        <v>4</v>
      </c>
      <c r="EU52" s="86">
        <f t="shared" si="52"/>
        <v>4</v>
      </c>
      <c r="EV52" s="86">
        <f t="shared" si="39"/>
        <v>5.8701220883483876</v>
      </c>
      <c r="EW52" s="86">
        <f t="shared" si="40"/>
        <v>0.72400538456190378</v>
      </c>
      <c r="EX52" s="86">
        <f t="shared" si="41"/>
        <v>0.53276148730466444</v>
      </c>
      <c r="EY52" s="86">
        <f t="shared" si="42"/>
        <v>0.86956521739130432</v>
      </c>
      <c r="EZ52" s="83">
        <f t="shared" si="43"/>
        <v>0.62956989961904675</v>
      </c>
      <c r="FA52" s="83">
        <f t="shared" si="44"/>
        <v>0.40284422480503929</v>
      </c>
      <c r="FB52" s="83">
        <f t="shared" si="45"/>
        <v>8</v>
      </c>
      <c r="FC52" s="84" t="s">
        <v>125</v>
      </c>
    </row>
    <row r="53" spans="1:160" s="82" customFormat="1" ht="17.100000000000001" customHeight="1">
      <c r="A53" s="78" t="s">
        <v>1854</v>
      </c>
      <c r="B53" s="91" t="s">
        <v>310</v>
      </c>
      <c r="C53" s="80" t="str">
        <f t="shared" si="10"/>
        <v>Foster, C. N., Barton, P. S., Sato, C. F., MacGregor, C. I., &amp; Lindenmayer, D. B. 2015.  Synergistic interactions between fire and browsing drive plant diversity in a forest understorey. Journal of Vegetation Science. 26 (6): 1112-1123.</v>
      </c>
      <c r="D53" s="91" t="s">
        <v>1524</v>
      </c>
      <c r="E53" s="91">
        <v>2015</v>
      </c>
      <c r="F53" s="91" t="s">
        <v>1553</v>
      </c>
      <c r="G53" s="91" t="s">
        <v>1527</v>
      </c>
      <c r="H53" s="91" t="s">
        <v>918</v>
      </c>
      <c r="I53" s="92" t="s">
        <v>1224</v>
      </c>
      <c r="J53" s="84"/>
      <c r="K53" s="91" t="s">
        <v>1225</v>
      </c>
      <c r="L53" s="91" t="s">
        <v>18</v>
      </c>
      <c r="M53" s="93" t="s">
        <v>164</v>
      </c>
      <c r="N53" s="84" t="s">
        <v>389</v>
      </c>
      <c r="O53" s="84"/>
      <c r="P53" s="91" t="s">
        <v>162</v>
      </c>
      <c r="Q53" s="91" t="s">
        <v>1140</v>
      </c>
      <c r="R53" s="91" t="s">
        <v>1226</v>
      </c>
      <c r="S53" s="91"/>
      <c r="T53" s="91" t="s">
        <v>1442</v>
      </c>
      <c r="U53" s="91" t="s">
        <v>1443</v>
      </c>
      <c r="V53" s="81">
        <v>-35.160000000000025</v>
      </c>
      <c r="W53" s="91">
        <v>150.66999999999999</v>
      </c>
      <c r="X53" s="84"/>
      <c r="Y53" s="66" t="s">
        <v>1898</v>
      </c>
      <c r="Z53" s="66" t="s">
        <v>2202</v>
      </c>
      <c r="AA53" s="93" t="s">
        <v>555</v>
      </c>
      <c r="AB53" s="84" t="s">
        <v>64</v>
      </c>
      <c r="AC53" s="84" t="s">
        <v>235</v>
      </c>
      <c r="AD53" s="84" t="s">
        <v>1265</v>
      </c>
      <c r="AE53" s="84"/>
      <c r="AF53" s="84" t="s">
        <v>87</v>
      </c>
      <c r="AG53" s="84" t="s">
        <v>92</v>
      </c>
      <c r="AH53" s="84" t="s">
        <v>106</v>
      </c>
      <c r="AI53" s="84" t="s">
        <v>272</v>
      </c>
      <c r="AJ53" s="115">
        <v>4</v>
      </c>
      <c r="AK53" s="115">
        <v>1</v>
      </c>
      <c r="AL53" s="115">
        <v>1</v>
      </c>
      <c r="AM53" s="84" t="s">
        <v>569</v>
      </c>
      <c r="AN53" s="84" t="s">
        <v>531</v>
      </c>
      <c r="AO53" s="84" t="s">
        <v>1588</v>
      </c>
      <c r="AP53" s="68" t="s">
        <v>2228</v>
      </c>
      <c r="AQ53" s="84" t="s">
        <v>94</v>
      </c>
      <c r="AR53" s="86">
        <v>1</v>
      </c>
      <c r="AS53" s="86">
        <v>4</v>
      </c>
      <c r="AT53" s="84"/>
      <c r="AU53" s="87" t="s">
        <v>1233</v>
      </c>
      <c r="AV53" s="88">
        <v>0.5714285714285714</v>
      </c>
      <c r="AW53" s="84"/>
      <c r="AX53" s="84" t="s">
        <v>80</v>
      </c>
      <c r="AY53" s="86">
        <v>4</v>
      </c>
      <c r="AZ53" s="86">
        <v>1</v>
      </c>
      <c r="BA53" s="86">
        <v>4</v>
      </c>
      <c r="BB53" s="84"/>
      <c r="BC53" s="84"/>
      <c r="BD53" s="93" t="s">
        <v>122</v>
      </c>
      <c r="BE53" s="84" t="s">
        <v>1602</v>
      </c>
      <c r="BF53" s="93" t="s">
        <v>110</v>
      </c>
      <c r="BG53" s="84" t="s">
        <v>2215</v>
      </c>
      <c r="BH53" s="84" t="s">
        <v>22</v>
      </c>
      <c r="BI53" s="84" t="s">
        <v>1231</v>
      </c>
      <c r="BJ53" s="89">
        <f t="shared" si="50"/>
        <v>1.75</v>
      </c>
      <c r="BK53" s="84">
        <v>21</v>
      </c>
      <c r="BL53" s="84">
        <v>21</v>
      </c>
      <c r="BM53" s="88">
        <v>1.75</v>
      </c>
      <c r="BN53" s="84" t="s">
        <v>389</v>
      </c>
      <c r="BO53" s="84" t="s">
        <v>703</v>
      </c>
      <c r="BP53" s="84" t="s">
        <v>64</v>
      </c>
      <c r="BQ53" s="84" t="s">
        <v>578</v>
      </c>
      <c r="BR53" s="84" t="s">
        <v>1232</v>
      </c>
      <c r="BS53" s="84" t="s">
        <v>2133</v>
      </c>
      <c r="BT53" s="84"/>
      <c r="BU53" s="86"/>
      <c r="BV53" s="86"/>
      <c r="BW53" s="90"/>
      <c r="BX53" s="86"/>
      <c r="BY53" s="86"/>
      <c r="BZ53" s="84"/>
      <c r="CA53" s="84"/>
      <c r="CB53" s="84"/>
      <c r="CC53" s="86"/>
      <c r="CD53" s="86"/>
      <c r="CE53" s="90"/>
      <c r="CF53" s="86"/>
      <c r="CG53" s="86"/>
      <c r="CH53" s="84"/>
      <c r="CI53" s="84"/>
      <c r="CJ53" s="84"/>
      <c r="CK53" s="86"/>
      <c r="CL53" s="86"/>
      <c r="CM53" s="86"/>
      <c r="CN53" s="86"/>
      <c r="CO53" s="86"/>
      <c r="CP53" s="84"/>
      <c r="CQ53" s="84"/>
      <c r="CR53" s="84" t="s">
        <v>72</v>
      </c>
      <c r="CS53" s="67">
        <v>3.0945120096640788</v>
      </c>
      <c r="CT53" s="86"/>
      <c r="CU53" s="67">
        <v>0.50378501679897292</v>
      </c>
      <c r="CV53" s="86">
        <v>4</v>
      </c>
      <c r="CW53" s="86">
        <v>4</v>
      </c>
      <c r="CX53" s="82" t="s">
        <v>1743</v>
      </c>
      <c r="CY53" s="82" t="s">
        <v>1748</v>
      </c>
      <c r="CZ53" s="82" t="s">
        <v>478</v>
      </c>
      <c r="DA53" s="63">
        <v>3.1375782658537448</v>
      </c>
      <c r="DC53" s="63">
        <v>1.121349361591375</v>
      </c>
      <c r="DD53" s="82">
        <v>4</v>
      </c>
      <c r="DE53" s="82">
        <v>4</v>
      </c>
      <c r="DF53" s="82" t="s">
        <v>1743</v>
      </c>
      <c r="DG53" s="82" t="s">
        <v>1748</v>
      </c>
      <c r="DH53" s="82" t="s">
        <v>72</v>
      </c>
      <c r="DI53" s="63">
        <v>2.4602434591388356</v>
      </c>
      <c r="DK53" s="63">
        <v>0.76946049669414174</v>
      </c>
      <c r="DL53" s="82">
        <v>4</v>
      </c>
      <c r="DM53" s="82">
        <v>4</v>
      </c>
      <c r="DN53" s="82" t="s">
        <v>1743</v>
      </c>
      <c r="DO53" s="82" t="s">
        <v>1748</v>
      </c>
      <c r="DP53" s="82" t="s">
        <v>80</v>
      </c>
      <c r="DQ53" s="63">
        <v>3.4429992854417222</v>
      </c>
      <c r="DS53" s="63">
        <v>0.56243940586766183</v>
      </c>
      <c r="DT53" s="82">
        <v>4</v>
      </c>
      <c r="DU53" s="82">
        <v>4</v>
      </c>
      <c r="DV53" s="82" t="s">
        <v>1743</v>
      </c>
      <c r="DW53" s="82" t="s">
        <v>1748</v>
      </c>
      <c r="DX53" s="82" t="s">
        <v>1747</v>
      </c>
      <c r="DY53" s="86">
        <f>DI53-CS53</f>
        <v>-0.63426855052524322</v>
      </c>
      <c r="DZ53" s="86"/>
      <c r="EA53" s="86">
        <f>SQRT((CU53^2)+(DK53^2))</f>
        <v>0.91971125856104241</v>
      </c>
      <c r="EB53" s="86">
        <v>4</v>
      </c>
      <c r="EC53" s="86">
        <v>4</v>
      </c>
      <c r="ED53" s="82" t="s">
        <v>1743</v>
      </c>
      <c r="EE53" s="82" t="s">
        <v>1744</v>
      </c>
      <c r="EF53" s="82" t="s">
        <v>1746</v>
      </c>
      <c r="EG53" s="86">
        <f>DQ53-DA53</f>
        <v>0.3054210195879774</v>
      </c>
      <c r="EH53" s="86"/>
      <c r="EI53" s="86">
        <f>SQRT((DS53^2)+(DC53^2))</f>
        <v>1.2544969015562186</v>
      </c>
      <c r="EJ53" s="86">
        <v>4</v>
      </c>
      <c r="EK53" s="86">
        <v>4</v>
      </c>
      <c r="EL53" s="82" t="s">
        <v>1743</v>
      </c>
      <c r="EM53" s="82" t="s">
        <v>1745</v>
      </c>
      <c r="EN53" s="86">
        <f>DY53</f>
        <v>-0.63426855052524322</v>
      </c>
      <c r="EO53" s="86">
        <f t="shared" si="51"/>
        <v>0.91971125856104241</v>
      </c>
      <c r="EP53" s="86">
        <f t="shared" si="51"/>
        <v>4</v>
      </c>
      <c r="EQ53" s="86">
        <f t="shared" si="51"/>
        <v>4</v>
      </c>
      <c r="ER53" s="86">
        <f>EG53</f>
        <v>0.3054210195879774</v>
      </c>
      <c r="ES53" s="86">
        <f t="shared" si="52"/>
        <v>1.2544969015562186</v>
      </c>
      <c r="ET53" s="86">
        <f t="shared" si="52"/>
        <v>4</v>
      </c>
      <c r="EU53" s="86">
        <f t="shared" si="52"/>
        <v>4</v>
      </c>
      <c r="EV53" s="86">
        <f t="shared" si="39"/>
        <v>1.0999161957026748</v>
      </c>
      <c r="EW53" s="86">
        <f t="shared" si="40"/>
        <v>-0.85432833318078893</v>
      </c>
      <c r="EX53" s="86">
        <f t="shared" si="41"/>
        <v>0.54561730630471661</v>
      </c>
      <c r="EY53" s="86">
        <f t="shared" si="42"/>
        <v>0.86956521739130432</v>
      </c>
      <c r="EZ53" s="83">
        <f t="shared" si="43"/>
        <v>-0.74289420276590346</v>
      </c>
      <c r="FA53" s="83">
        <f t="shared" si="44"/>
        <v>0.4125650709298424</v>
      </c>
      <c r="FB53" s="83">
        <f t="shared" si="45"/>
        <v>8</v>
      </c>
      <c r="FC53" s="84" t="s">
        <v>125</v>
      </c>
    </row>
    <row r="54" spans="1:160" s="82" customFormat="1" ht="17.100000000000001" customHeight="1">
      <c r="A54" s="78" t="s">
        <v>1807</v>
      </c>
      <c r="B54" s="118" t="s">
        <v>1478</v>
      </c>
      <c r="C54" s="80" t="str">
        <f t="shared" si="10"/>
        <v>Fulé, P. Z., Springer, J. D., Huffman, D. W., &amp; Covington, W. W. 2001.  Response of a rare endemic, Penstemon clutei, to burning and reduced belowground competition. In: Southwestern Rare and Endangered Plants: Proceedings of the Third Conference. : 139-152.</v>
      </c>
      <c r="D54" s="81" t="s">
        <v>1479</v>
      </c>
      <c r="E54" s="81">
        <v>2001</v>
      </c>
      <c r="F54" s="81" t="s">
        <v>1531</v>
      </c>
      <c r="G54" s="81" t="s">
        <v>1528</v>
      </c>
      <c r="H54" s="81"/>
      <c r="I54" s="81" t="s">
        <v>684</v>
      </c>
      <c r="J54" s="81"/>
      <c r="K54" s="84" t="s">
        <v>685</v>
      </c>
      <c r="L54" s="84" t="s">
        <v>18</v>
      </c>
      <c r="M54" s="95" t="s">
        <v>164</v>
      </c>
      <c r="N54" s="84" t="s">
        <v>389</v>
      </c>
      <c r="O54" s="84"/>
      <c r="P54" s="95" t="s">
        <v>16</v>
      </c>
      <c r="Q54" s="84" t="s">
        <v>61</v>
      </c>
      <c r="R54" s="84" t="s">
        <v>686</v>
      </c>
      <c r="S54" s="81"/>
      <c r="T54" s="81" t="s">
        <v>687</v>
      </c>
      <c r="U54" s="81" t="s">
        <v>688</v>
      </c>
      <c r="V54" s="81">
        <v>35.369999999999997</v>
      </c>
      <c r="W54" s="81">
        <v>-111.51</v>
      </c>
      <c r="X54" s="81">
        <v>2100</v>
      </c>
      <c r="Y54" s="99" t="s">
        <v>1899</v>
      </c>
      <c r="Z54" s="66" t="s">
        <v>2204</v>
      </c>
      <c r="AA54" s="65" t="s">
        <v>49</v>
      </c>
      <c r="AB54" s="84" t="s">
        <v>64</v>
      </c>
      <c r="AC54" s="81" t="s">
        <v>235</v>
      </c>
      <c r="AD54" s="84"/>
      <c r="AE54" s="84"/>
      <c r="AF54" s="84" t="s">
        <v>86</v>
      </c>
      <c r="AG54" s="84" t="s">
        <v>91</v>
      </c>
      <c r="AH54" s="84" t="s">
        <v>106</v>
      </c>
      <c r="AI54" s="84" t="s">
        <v>276</v>
      </c>
      <c r="AJ54" s="115">
        <v>20</v>
      </c>
      <c r="AK54" s="115">
        <v>1</v>
      </c>
      <c r="AL54" s="115">
        <v>1</v>
      </c>
      <c r="AM54" s="84" t="s">
        <v>689</v>
      </c>
      <c r="AN54" s="84" t="s">
        <v>690</v>
      </c>
      <c r="AO54" s="84" t="s">
        <v>524</v>
      </c>
      <c r="AP54" s="68" t="s">
        <v>2228</v>
      </c>
      <c r="AQ54" s="84" t="s">
        <v>64</v>
      </c>
      <c r="AR54" s="86">
        <v>1</v>
      </c>
      <c r="AS54" s="86">
        <v>1</v>
      </c>
      <c r="AT54" s="86"/>
      <c r="AU54" s="90"/>
      <c r="AV54" s="88">
        <v>0.25531914893617025</v>
      </c>
      <c r="AW54" s="84" t="s">
        <v>691</v>
      </c>
      <c r="AX54" s="91" t="s">
        <v>80</v>
      </c>
      <c r="AY54" s="86">
        <v>20</v>
      </c>
      <c r="AZ54" s="119">
        <v>1</v>
      </c>
      <c r="BA54" s="86">
        <v>1</v>
      </c>
      <c r="BB54" s="86"/>
      <c r="BC54" s="84"/>
      <c r="BD54" s="93" t="s">
        <v>124</v>
      </c>
      <c r="BE54" s="84" t="s">
        <v>182</v>
      </c>
      <c r="BF54" s="93" t="s">
        <v>110</v>
      </c>
      <c r="BG54" s="84" t="s">
        <v>21</v>
      </c>
      <c r="BH54" s="84" t="s">
        <v>81</v>
      </c>
      <c r="BI54" s="84" t="s">
        <v>689</v>
      </c>
      <c r="BJ54" s="89">
        <f t="shared" si="50"/>
        <v>3.9166666666666665</v>
      </c>
      <c r="BK54" s="84">
        <v>47</v>
      </c>
      <c r="BL54" s="84">
        <v>47</v>
      </c>
      <c r="BM54" s="88">
        <v>3.9166666666666665</v>
      </c>
      <c r="BN54" s="84" t="s">
        <v>389</v>
      </c>
      <c r="BO54" s="84" t="s">
        <v>382</v>
      </c>
      <c r="BP54" s="84" t="s">
        <v>64</v>
      </c>
      <c r="BQ54" s="84"/>
      <c r="BR54" s="81" t="s">
        <v>692</v>
      </c>
      <c r="BS54" s="81" t="s">
        <v>2181</v>
      </c>
      <c r="BT54" s="84"/>
      <c r="BU54" s="86"/>
      <c r="BV54" s="86"/>
      <c r="BW54" s="90"/>
      <c r="BX54" s="86"/>
      <c r="BY54" s="86"/>
      <c r="BZ54" s="84"/>
      <c r="CA54" s="84"/>
      <c r="CB54" s="84"/>
      <c r="CC54" s="86"/>
      <c r="CD54" s="86"/>
      <c r="CE54" s="120"/>
      <c r="CF54" s="86"/>
      <c r="CG54" s="86"/>
      <c r="CH54" s="84"/>
      <c r="CI54" s="84"/>
      <c r="CJ54" s="84"/>
      <c r="CK54" s="86"/>
      <c r="CL54" s="86"/>
      <c r="CM54" s="86"/>
      <c r="CN54" s="86"/>
      <c r="CO54" s="86"/>
      <c r="CP54" s="84"/>
      <c r="CQ54" s="84"/>
      <c r="CR54" s="84" t="s">
        <v>1255</v>
      </c>
      <c r="CS54" s="86">
        <v>6.55</v>
      </c>
      <c r="CT54" s="86"/>
      <c r="CU54" s="86">
        <v>2.0249999999999999</v>
      </c>
      <c r="CV54" s="86">
        <v>20</v>
      </c>
      <c r="CW54" s="86">
        <v>20</v>
      </c>
      <c r="CX54" s="84" t="s">
        <v>1757</v>
      </c>
      <c r="CY54" s="84" t="s">
        <v>654</v>
      </c>
      <c r="CZ54" s="84" t="s">
        <v>80</v>
      </c>
      <c r="DA54" s="82">
        <v>6.9</v>
      </c>
      <c r="DC54" s="82">
        <v>1.7889999999999999</v>
      </c>
      <c r="DD54" s="82">
        <v>20</v>
      </c>
      <c r="DE54" s="82">
        <v>20</v>
      </c>
      <c r="DF54" s="84" t="s">
        <v>1757</v>
      </c>
      <c r="DG54" s="84" t="s">
        <v>654</v>
      </c>
      <c r="DH54" s="84" t="s">
        <v>1255</v>
      </c>
      <c r="DI54" s="82">
        <v>7.1</v>
      </c>
      <c r="DK54" s="82">
        <v>2.72</v>
      </c>
      <c r="DL54" s="82">
        <v>20</v>
      </c>
      <c r="DM54" s="82">
        <v>20</v>
      </c>
      <c r="DN54" s="82" t="s">
        <v>1757</v>
      </c>
      <c r="DO54" s="84" t="s">
        <v>654</v>
      </c>
      <c r="DP54" s="84" t="s">
        <v>80</v>
      </c>
      <c r="DQ54" s="82">
        <v>7.25</v>
      </c>
      <c r="DS54" s="82">
        <v>2.2360000000000002</v>
      </c>
      <c r="DT54" s="82">
        <v>20</v>
      </c>
      <c r="DU54" s="82">
        <v>20</v>
      </c>
      <c r="DV54" s="84" t="s">
        <v>1757</v>
      </c>
      <c r="DW54" s="84" t="s">
        <v>654</v>
      </c>
      <c r="DX54" s="84" t="s">
        <v>1747</v>
      </c>
      <c r="DY54" s="86">
        <f>DI54-CS54</f>
        <v>0.54999999999999982</v>
      </c>
      <c r="DZ54" s="86"/>
      <c r="EA54" s="86">
        <f>SQRT((CU54^2)+(DK54^2))</f>
        <v>3.3910212326082538</v>
      </c>
      <c r="EB54" s="86">
        <v>20</v>
      </c>
      <c r="EC54" s="86">
        <v>20</v>
      </c>
      <c r="ED54" s="84" t="s">
        <v>1743</v>
      </c>
      <c r="EE54" s="84" t="s">
        <v>1744</v>
      </c>
      <c r="EF54" s="84" t="s">
        <v>1746</v>
      </c>
      <c r="EG54" s="86">
        <f>DQ54-DA54</f>
        <v>0.34999999999999964</v>
      </c>
      <c r="EH54" s="86"/>
      <c r="EI54" s="86">
        <f>SQRT((DS54^2)+(DC54^2))</f>
        <v>2.8636021022481457</v>
      </c>
      <c r="EJ54" s="86">
        <v>20</v>
      </c>
      <c r="EK54" s="86">
        <v>20</v>
      </c>
      <c r="EL54" s="84" t="s">
        <v>1743</v>
      </c>
      <c r="EM54" s="84" t="s">
        <v>1745</v>
      </c>
      <c r="EN54" s="86">
        <f>DY54</f>
        <v>0.54999999999999982</v>
      </c>
      <c r="EO54" s="86">
        <f t="shared" si="51"/>
        <v>3.3910212326082538</v>
      </c>
      <c r="EP54" s="86">
        <f t="shared" si="51"/>
        <v>20</v>
      </c>
      <c r="EQ54" s="86">
        <f t="shared" si="51"/>
        <v>20</v>
      </c>
      <c r="ER54" s="86">
        <f>EG54</f>
        <v>0.34999999999999964</v>
      </c>
      <c r="ES54" s="86">
        <f t="shared" si="52"/>
        <v>2.8636021022481457</v>
      </c>
      <c r="ET54" s="86">
        <f t="shared" si="52"/>
        <v>20</v>
      </c>
      <c r="EU54" s="86">
        <f t="shared" si="52"/>
        <v>20</v>
      </c>
      <c r="EV54" s="86">
        <f t="shared" si="39"/>
        <v>3.1384105849936206</v>
      </c>
      <c r="EW54" s="86">
        <f t="shared" si="40"/>
        <v>6.3726524807271742E-2</v>
      </c>
      <c r="EX54" s="86">
        <f t="shared" si="41"/>
        <v>0.10005076337455016</v>
      </c>
      <c r="EY54" s="86">
        <f t="shared" si="42"/>
        <v>0.98013245033112584</v>
      </c>
      <c r="EZ54" s="83">
        <f t="shared" si="43"/>
        <v>6.2460434910438532E-2</v>
      </c>
      <c r="FA54" s="83">
        <f t="shared" si="44"/>
        <v>9.6114728343324699E-2</v>
      </c>
      <c r="FB54" s="83">
        <f t="shared" si="45"/>
        <v>40</v>
      </c>
      <c r="FC54" s="64" t="s">
        <v>460</v>
      </c>
    </row>
    <row r="55" spans="1:160" s="84" customFormat="1" ht="17.100000000000001" customHeight="1">
      <c r="A55" s="78" t="s">
        <v>1856</v>
      </c>
      <c r="B55" s="91" t="s">
        <v>1421</v>
      </c>
      <c r="C55" s="80" t="str">
        <f t="shared" si="10"/>
        <v>Fulé, P. Z., Laughlin, D. C., &amp; Covington, W. W.  2005.  Pine-oak forest dynamics five years after ecological restoration treatments, Arizona, USA. Forest Ecology and Management. 218: 129-145.</v>
      </c>
      <c r="D55" s="91" t="s">
        <v>1498</v>
      </c>
      <c r="E55" s="91">
        <v>2005</v>
      </c>
      <c r="F55" s="91" t="s">
        <v>1146</v>
      </c>
      <c r="G55" s="91" t="s">
        <v>20</v>
      </c>
      <c r="H55" s="91">
        <v>218</v>
      </c>
      <c r="I55" s="92" t="s">
        <v>1147</v>
      </c>
      <c r="J55" s="79" t="s">
        <v>1574</v>
      </c>
      <c r="K55" s="79" t="s">
        <v>1148</v>
      </c>
      <c r="L55" s="82" t="s">
        <v>101</v>
      </c>
      <c r="M55" s="83" t="s">
        <v>73</v>
      </c>
      <c r="N55" s="82" t="s">
        <v>389</v>
      </c>
      <c r="O55" s="82"/>
      <c r="P55" s="91" t="s">
        <v>16</v>
      </c>
      <c r="Q55" s="96" t="s">
        <v>61</v>
      </c>
      <c r="R55" s="96" t="s">
        <v>268</v>
      </c>
      <c r="S55" s="79"/>
      <c r="T55" s="79" t="s">
        <v>269</v>
      </c>
      <c r="U55" s="79" t="s">
        <v>270</v>
      </c>
      <c r="V55" s="81">
        <v>35.96</v>
      </c>
      <c r="W55" s="81">
        <v>-111.96</v>
      </c>
      <c r="X55" s="81">
        <v>2290</v>
      </c>
      <c r="Y55" s="85" t="s">
        <v>1899</v>
      </c>
      <c r="Z55" s="66" t="s">
        <v>2204</v>
      </c>
      <c r="AA55" s="97" t="s">
        <v>97</v>
      </c>
      <c r="AB55" s="79" t="s">
        <v>64</v>
      </c>
      <c r="AC55" s="82" t="s">
        <v>136</v>
      </c>
      <c r="AD55" s="82" t="s">
        <v>271</v>
      </c>
      <c r="AE55" s="82"/>
      <c r="AF55" s="82" t="s">
        <v>86</v>
      </c>
      <c r="AG55" s="82" t="s">
        <v>67</v>
      </c>
      <c r="AH55" s="82" t="s">
        <v>106</v>
      </c>
      <c r="AI55" s="82" t="s">
        <v>272</v>
      </c>
      <c r="AJ55" s="86">
        <v>1</v>
      </c>
      <c r="AK55" s="86">
        <v>1</v>
      </c>
      <c r="AL55" s="86">
        <v>1</v>
      </c>
      <c r="AM55" s="84" t="s">
        <v>274</v>
      </c>
      <c r="AN55" s="84" t="s">
        <v>522</v>
      </c>
      <c r="AO55" s="84" t="s">
        <v>524</v>
      </c>
      <c r="AP55" s="68" t="s">
        <v>2228</v>
      </c>
      <c r="AQ55" s="82" t="s">
        <v>88</v>
      </c>
      <c r="AR55" s="86">
        <v>1</v>
      </c>
      <c r="AS55" s="86">
        <v>20</v>
      </c>
      <c r="AT55" s="86">
        <v>10</v>
      </c>
      <c r="AU55" s="87"/>
      <c r="AV55" s="88">
        <v>0.2</v>
      </c>
      <c r="AW55" s="82" t="s">
        <v>1149</v>
      </c>
      <c r="AX55" s="82" t="s">
        <v>80</v>
      </c>
      <c r="AY55" s="86">
        <v>1</v>
      </c>
      <c r="AZ55" s="86">
        <v>1</v>
      </c>
      <c r="BA55" s="86">
        <v>19</v>
      </c>
      <c r="BB55" s="86">
        <v>10</v>
      </c>
      <c r="BC55" s="82" t="s">
        <v>1149</v>
      </c>
      <c r="BD55" s="83" t="s">
        <v>122</v>
      </c>
      <c r="BE55" s="82" t="s">
        <v>1602</v>
      </c>
      <c r="BF55" s="83" t="s">
        <v>110</v>
      </c>
      <c r="BG55" s="82" t="s">
        <v>21</v>
      </c>
      <c r="BH55" s="82" t="s">
        <v>81</v>
      </c>
      <c r="BI55" s="84" t="s">
        <v>1066</v>
      </c>
      <c r="BJ55" s="89">
        <f t="shared" si="50"/>
        <v>5</v>
      </c>
      <c r="BK55" s="84">
        <v>60</v>
      </c>
      <c r="BL55" s="84">
        <v>60</v>
      </c>
      <c r="BM55" s="88">
        <v>5</v>
      </c>
      <c r="BN55" s="82" t="s">
        <v>1556</v>
      </c>
      <c r="BO55" s="82" t="s">
        <v>158</v>
      </c>
      <c r="BP55" s="82" t="s">
        <v>64</v>
      </c>
      <c r="BQ55" s="82" t="s">
        <v>578</v>
      </c>
      <c r="BR55" s="63" t="s">
        <v>1784</v>
      </c>
      <c r="BS55" s="82" t="s">
        <v>388</v>
      </c>
      <c r="BT55" s="82" t="s">
        <v>1150</v>
      </c>
      <c r="BU55" s="86">
        <v>6.4</v>
      </c>
      <c r="BV55" s="86">
        <v>0.3</v>
      </c>
      <c r="BW55" s="90">
        <v>1.3416407864998738</v>
      </c>
      <c r="BX55" s="86">
        <v>20</v>
      </c>
      <c r="BY55" s="86">
        <v>20</v>
      </c>
      <c r="BZ55" s="82" t="s">
        <v>351</v>
      </c>
      <c r="CA55" s="82" t="s">
        <v>1557</v>
      </c>
      <c r="CB55" s="82" t="s">
        <v>80</v>
      </c>
      <c r="CC55" s="86">
        <v>7.6</v>
      </c>
      <c r="CD55" s="86">
        <v>0.6</v>
      </c>
      <c r="CE55" s="90">
        <v>2.6153393661244042</v>
      </c>
      <c r="CF55" s="86">
        <v>19</v>
      </c>
      <c r="CG55" s="86">
        <v>19</v>
      </c>
      <c r="CH55" s="82" t="s">
        <v>351</v>
      </c>
      <c r="CI55" s="82" t="s">
        <v>1379</v>
      </c>
      <c r="CJ55" s="82"/>
      <c r="CK55" s="86"/>
      <c r="CL55" s="86"/>
      <c r="CM55" s="86"/>
      <c r="CN55" s="86"/>
      <c r="CO55" s="86"/>
      <c r="CP55" s="82"/>
      <c r="CQ55" s="82"/>
      <c r="CR55" s="82"/>
      <c r="CS55" s="86"/>
      <c r="CT55" s="86"/>
      <c r="CU55" s="86"/>
      <c r="CV55" s="86"/>
      <c r="CW55" s="86"/>
      <c r="CX55" s="82"/>
      <c r="CY55" s="82"/>
      <c r="CZ55" s="82"/>
      <c r="DA55" s="82"/>
      <c r="DB55" s="82"/>
      <c r="DC55" s="82"/>
      <c r="DD55" s="82"/>
      <c r="DE55" s="82"/>
      <c r="DF55" s="82"/>
      <c r="DG55" s="82"/>
      <c r="DH55" s="82"/>
      <c r="DI55" s="82"/>
      <c r="DJ55" s="82"/>
      <c r="DK55" s="82"/>
      <c r="DL55" s="82"/>
      <c r="DM55" s="82"/>
      <c r="DN55" s="82"/>
      <c r="DO55" s="82"/>
      <c r="DP55" s="82"/>
      <c r="DQ55" s="79"/>
      <c r="DR55" s="79"/>
      <c r="DS55" s="82"/>
      <c r="DT55" s="82"/>
      <c r="DU55" s="82"/>
      <c r="DV55" s="82"/>
      <c r="DW55" s="82"/>
      <c r="DX55" s="82"/>
      <c r="DY55" s="86"/>
      <c r="DZ55" s="86"/>
      <c r="EA55" s="86"/>
      <c r="EB55" s="86"/>
      <c r="EC55" s="86"/>
      <c r="ED55" s="82"/>
      <c r="EE55" s="82"/>
      <c r="EF55" s="82"/>
      <c r="EG55" s="86"/>
      <c r="EH55" s="86"/>
      <c r="EI55" s="86"/>
      <c r="EJ55" s="86"/>
      <c r="EK55" s="86"/>
      <c r="EL55" s="82"/>
      <c r="EM55" s="82"/>
      <c r="EN55" s="86">
        <f>BU55</f>
        <v>6.4</v>
      </c>
      <c r="EO55" s="90">
        <f t="shared" ref="EO55:EQ56" si="53">BW55</f>
        <v>1.3416407864998738</v>
      </c>
      <c r="EP55" s="86">
        <f t="shared" si="53"/>
        <v>20</v>
      </c>
      <c r="EQ55" s="86">
        <f t="shared" si="53"/>
        <v>20</v>
      </c>
      <c r="ER55" s="86">
        <f>CC55</f>
        <v>7.6</v>
      </c>
      <c r="ES55" s="90">
        <f t="shared" ref="ES55:EU56" si="54">CE55</f>
        <v>2.6153393661244042</v>
      </c>
      <c r="ET55" s="86">
        <f t="shared" si="54"/>
        <v>19</v>
      </c>
      <c r="EU55" s="86">
        <f t="shared" si="54"/>
        <v>19</v>
      </c>
      <c r="EV55" s="86">
        <f t="shared" si="39"/>
        <v>2.0620116129381745</v>
      </c>
      <c r="EW55" s="86">
        <f t="shared" si="40"/>
        <v>-0.5819559853448697</v>
      </c>
      <c r="EX55" s="86">
        <f t="shared" si="41"/>
        <v>0.1069735375227366</v>
      </c>
      <c r="EY55" s="86">
        <f t="shared" si="42"/>
        <v>0.97959183673469385</v>
      </c>
      <c r="EZ55" s="83">
        <f t="shared" si="43"/>
        <v>-0.57007933258272947</v>
      </c>
      <c r="FA55" s="83">
        <f t="shared" si="44"/>
        <v>0.10265182442831533</v>
      </c>
      <c r="FB55" s="83">
        <f t="shared" si="45"/>
        <v>39</v>
      </c>
      <c r="FC55" s="82" t="s">
        <v>125</v>
      </c>
    </row>
    <row r="56" spans="1:160" s="84" customFormat="1" ht="17.100000000000001" customHeight="1">
      <c r="A56" s="78" t="s">
        <v>1856</v>
      </c>
      <c r="B56" s="91" t="s">
        <v>1421</v>
      </c>
      <c r="C56" s="80" t="str">
        <f t="shared" si="10"/>
        <v>Fulé, P. Z., Laughlin, D. C., &amp; Covington, W. W.  2005.  Pine-oak forest dynamics five years after ecological restoration treatments, Arizona, USA. Forest Ecology and Management. 218: 129-145.</v>
      </c>
      <c r="D56" s="91" t="s">
        <v>1498</v>
      </c>
      <c r="E56" s="91">
        <v>2005</v>
      </c>
      <c r="F56" s="91" t="s">
        <v>1146</v>
      </c>
      <c r="G56" s="91" t="s">
        <v>20</v>
      </c>
      <c r="H56" s="91">
        <v>218</v>
      </c>
      <c r="I56" s="92" t="s">
        <v>1147</v>
      </c>
      <c r="J56" s="79" t="s">
        <v>1574</v>
      </c>
      <c r="K56" s="79" t="s">
        <v>1148</v>
      </c>
      <c r="L56" s="82" t="s">
        <v>101</v>
      </c>
      <c r="M56" s="83" t="s">
        <v>73</v>
      </c>
      <c r="N56" s="82" t="s">
        <v>389</v>
      </c>
      <c r="O56" s="82"/>
      <c r="P56" s="91" t="s">
        <v>16</v>
      </c>
      <c r="Q56" s="96" t="s">
        <v>61</v>
      </c>
      <c r="R56" s="96" t="s">
        <v>268</v>
      </c>
      <c r="S56" s="79"/>
      <c r="T56" s="79" t="s">
        <v>269</v>
      </c>
      <c r="U56" s="79" t="s">
        <v>270</v>
      </c>
      <c r="V56" s="81">
        <v>35.96</v>
      </c>
      <c r="W56" s="81">
        <v>-111.96</v>
      </c>
      <c r="X56" s="81">
        <v>2290</v>
      </c>
      <c r="Y56" s="85" t="s">
        <v>1899</v>
      </c>
      <c r="Z56" s="66" t="s">
        <v>2204</v>
      </c>
      <c r="AA56" s="97" t="s">
        <v>97</v>
      </c>
      <c r="AB56" s="79" t="s">
        <v>64</v>
      </c>
      <c r="AC56" s="82" t="s">
        <v>136</v>
      </c>
      <c r="AD56" s="82" t="s">
        <v>271</v>
      </c>
      <c r="AE56" s="82"/>
      <c r="AF56" s="82" t="s">
        <v>86</v>
      </c>
      <c r="AG56" s="82" t="s">
        <v>67</v>
      </c>
      <c r="AH56" s="82" t="s">
        <v>106</v>
      </c>
      <c r="AI56" s="82" t="s">
        <v>272</v>
      </c>
      <c r="AJ56" s="86">
        <v>1</v>
      </c>
      <c r="AK56" s="86">
        <v>1</v>
      </c>
      <c r="AL56" s="86">
        <v>1</v>
      </c>
      <c r="AM56" s="84" t="s">
        <v>274</v>
      </c>
      <c r="AN56" s="84" t="s">
        <v>522</v>
      </c>
      <c r="AO56" s="84" t="s">
        <v>524</v>
      </c>
      <c r="AP56" s="68" t="s">
        <v>2228</v>
      </c>
      <c r="AQ56" s="82" t="s">
        <v>88</v>
      </c>
      <c r="AR56" s="86">
        <v>1</v>
      </c>
      <c r="AS56" s="86">
        <v>20</v>
      </c>
      <c r="AT56" s="86">
        <v>10</v>
      </c>
      <c r="AU56" s="87"/>
      <c r="AV56" s="88">
        <v>0.2</v>
      </c>
      <c r="AW56" s="82" t="s">
        <v>1149</v>
      </c>
      <c r="AX56" s="82" t="s">
        <v>80</v>
      </c>
      <c r="AY56" s="86">
        <v>1</v>
      </c>
      <c r="AZ56" s="86">
        <v>1</v>
      </c>
      <c r="BA56" s="86">
        <v>19</v>
      </c>
      <c r="BB56" s="86">
        <v>10</v>
      </c>
      <c r="BC56" s="82" t="s">
        <v>1149</v>
      </c>
      <c r="BD56" s="83" t="s">
        <v>124</v>
      </c>
      <c r="BE56" s="82" t="s">
        <v>182</v>
      </c>
      <c r="BF56" s="83" t="s">
        <v>110</v>
      </c>
      <c r="BG56" s="82" t="s">
        <v>21</v>
      </c>
      <c r="BH56" s="82" t="s">
        <v>81</v>
      </c>
      <c r="BI56" s="84" t="s">
        <v>1066</v>
      </c>
      <c r="BJ56" s="89">
        <f t="shared" si="50"/>
        <v>5</v>
      </c>
      <c r="BK56" s="84">
        <v>60</v>
      </c>
      <c r="BL56" s="84">
        <v>60</v>
      </c>
      <c r="BM56" s="88">
        <v>5</v>
      </c>
      <c r="BN56" s="82" t="s">
        <v>379</v>
      </c>
      <c r="BO56" s="82" t="s">
        <v>158</v>
      </c>
      <c r="BP56" s="82" t="s">
        <v>64</v>
      </c>
      <c r="BQ56" s="82"/>
      <c r="BR56" s="63" t="s">
        <v>1783</v>
      </c>
      <c r="BS56" s="82" t="s">
        <v>388</v>
      </c>
      <c r="BT56" s="82" t="s">
        <v>72</v>
      </c>
      <c r="BU56" s="86">
        <v>20.5</v>
      </c>
      <c r="BV56" s="86">
        <v>1</v>
      </c>
      <c r="BW56" s="90">
        <v>4.4721359549995796</v>
      </c>
      <c r="BX56" s="86">
        <v>20</v>
      </c>
      <c r="BY56" s="86">
        <v>20</v>
      </c>
      <c r="BZ56" s="82" t="s">
        <v>351</v>
      </c>
      <c r="CA56" s="82" t="s">
        <v>1557</v>
      </c>
      <c r="CB56" s="82" t="s">
        <v>80</v>
      </c>
      <c r="CC56" s="86">
        <v>26.1</v>
      </c>
      <c r="CD56" s="86">
        <v>1.2</v>
      </c>
      <c r="CE56" s="90">
        <v>5.2306787322488084</v>
      </c>
      <c r="CF56" s="86">
        <v>19</v>
      </c>
      <c r="CG56" s="86">
        <v>19</v>
      </c>
      <c r="CH56" s="82" t="s">
        <v>351</v>
      </c>
      <c r="CI56" s="82" t="s">
        <v>1378</v>
      </c>
      <c r="CJ56" s="82"/>
      <c r="CK56" s="86"/>
      <c r="CL56" s="86"/>
      <c r="CM56" s="86"/>
      <c r="CN56" s="86"/>
      <c r="CO56" s="86"/>
      <c r="CP56" s="82"/>
      <c r="CQ56" s="82"/>
      <c r="CR56" s="82"/>
      <c r="CS56" s="86"/>
      <c r="CT56" s="86"/>
      <c r="CU56" s="86"/>
      <c r="CV56" s="86"/>
      <c r="CW56" s="86"/>
      <c r="CX56" s="82"/>
      <c r="CY56" s="82"/>
      <c r="CZ56" s="82"/>
      <c r="DA56" s="82"/>
      <c r="DB56" s="82"/>
      <c r="DC56" s="82"/>
      <c r="DD56" s="82"/>
      <c r="DE56" s="82"/>
      <c r="DF56" s="82"/>
      <c r="DG56" s="82"/>
      <c r="DH56" s="82"/>
      <c r="DI56" s="82"/>
      <c r="DJ56" s="82"/>
      <c r="DK56" s="82"/>
      <c r="DL56" s="82"/>
      <c r="DM56" s="82"/>
      <c r="DN56" s="82"/>
      <c r="DO56" s="82"/>
      <c r="DP56" s="82"/>
      <c r="DQ56" s="79"/>
      <c r="DR56" s="79"/>
      <c r="DS56" s="82"/>
      <c r="DT56" s="82"/>
      <c r="DU56" s="82"/>
      <c r="DV56" s="82"/>
      <c r="DW56" s="82"/>
      <c r="DX56" s="82"/>
      <c r="DY56" s="86"/>
      <c r="DZ56" s="86"/>
      <c r="EA56" s="86"/>
      <c r="EB56" s="86"/>
      <c r="EC56" s="86"/>
      <c r="ED56" s="82"/>
      <c r="EE56" s="82"/>
      <c r="EF56" s="82"/>
      <c r="EG56" s="86"/>
      <c r="EH56" s="86"/>
      <c r="EI56" s="86"/>
      <c r="EJ56" s="86"/>
      <c r="EK56" s="86"/>
      <c r="EL56" s="82"/>
      <c r="EM56" s="82"/>
      <c r="EN56" s="86">
        <f>BU56</f>
        <v>20.5</v>
      </c>
      <c r="EO56" s="90">
        <f t="shared" si="53"/>
        <v>4.4721359549995796</v>
      </c>
      <c r="EP56" s="86">
        <f t="shared" si="53"/>
        <v>20</v>
      </c>
      <c r="EQ56" s="86">
        <f t="shared" si="53"/>
        <v>20</v>
      </c>
      <c r="ER56" s="86">
        <f>CC56</f>
        <v>26.1</v>
      </c>
      <c r="ES56" s="90">
        <f t="shared" si="54"/>
        <v>5.2306787322488084</v>
      </c>
      <c r="ET56" s="86">
        <f t="shared" si="54"/>
        <v>19</v>
      </c>
      <c r="EU56" s="86">
        <f t="shared" si="54"/>
        <v>19</v>
      </c>
      <c r="EV56" s="86">
        <f t="shared" si="39"/>
        <v>4.8559798743961595</v>
      </c>
      <c r="EW56" s="86">
        <f t="shared" si="40"/>
        <v>-1.1532173000812449</v>
      </c>
      <c r="EX56" s="86">
        <f t="shared" si="41"/>
        <v>0.11968170896283863</v>
      </c>
      <c r="EY56" s="86">
        <f t="shared" si="42"/>
        <v>0.97959183673469385</v>
      </c>
      <c r="EZ56" s="83">
        <f t="shared" si="43"/>
        <v>-1.1296822531408113</v>
      </c>
      <c r="FA56" s="83">
        <f t="shared" si="44"/>
        <v>0.11484658785938366</v>
      </c>
      <c r="FB56" s="83">
        <f t="shared" si="45"/>
        <v>39</v>
      </c>
      <c r="FC56" s="82" t="s">
        <v>125</v>
      </c>
    </row>
    <row r="57" spans="1:160" s="84" customFormat="1" ht="17.100000000000001" customHeight="1">
      <c r="A57" s="78" t="s">
        <v>1900</v>
      </c>
      <c r="B57" s="81" t="s">
        <v>1402</v>
      </c>
      <c r="C57" s="80" t="str">
        <f t="shared" si="10"/>
        <v>Greenberg, C. H., Moorman, C. E., Raybuck, A. L., Sundol, C., Keyser, T. L., Bush, J., Simon D.M. &amp; Warburton, G. S. 2016.  Reptile and amphibian response to oak regeneration treatments in productive southern Appalachian hardwood forest.. Forest Ecology and Management. 377: 139-149.</v>
      </c>
      <c r="D57" s="81" t="s">
        <v>1486</v>
      </c>
      <c r="E57" s="81">
        <v>2016</v>
      </c>
      <c r="F57" s="81" t="s">
        <v>1543</v>
      </c>
      <c r="G57" s="81" t="s">
        <v>20</v>
      </c>
      <c r="H57" s="81">
        <v>377</v>
      </c>
      <c r="I57" s="81" t="s">
        <v>629</v>
      </c>
      <c r="J57" s="81" t="s">
        <v>1819</v>
      </c>
      <c r="K57" s="84" t="s">
        <v>630</v>
      </c>
      <c r="L57" s="84" t="s">
        <v>18</v>
      </c>
      <c r="M57" s="65" t="s">
        <v>164</v>
      </c>
      <c r="N57" s="84" t="s">
        <v>389</v>
      </c>
      <c r="P57" s="81" t="s">
        <v>16</v>
      </c>
      <c r="Q57" s="84" t="s">
        <v>551</v>
      </c>
      <c r="R57" s="84" t="s">
        <v>552</v>
      </c>
      <c r="S57" s="81"/>
      <c r="T57" s="81" t="s">
        <v>553</v>
      </c>
      <c r="U57" s="81" t="s">
        <v>554</v>
      </c>
      <c r="V57" s="81">
        <v>35.4</v>
      </c>
      <c r="W57" s="81">
        <v>-82.9</v>
      </c>
      <c r="X57" s="81" t="s">
        <v>631</v>
      </c>
      <c r="Y57" s="99" t="s">
        <v>1898</v>
      </c>
      <c r="Z57" s="66" t="s">
        <v>2202</v>
      </c>
      <c r="AA57" s="83" t="s">
        <v>555</v>
      </c>
      <c r="AB57" s="84" t="s">
        <v>64</v>
      </c>
      <c r="AC57" s="81" t="s">
        <v>136</v>
      </c>
      <c r="AE57" s="84" t="s">
        <v>632</v>
      </c>
      <c r="AF57" s="84" t="s">
        <v>86</v>
      </c>
      <c r="AG57" s="84" t="s">
        <v>91</v>
      </c>
      <c r="AH57" s="84" t="s">
        <v>106</v>
      </c>
      <c r="AI57" s="84" t="s">
        <v>93</v>
      </c>
      <c r="AJ57" s="87" t="s">
        <v>412</v>
      </c>
      <c r="AK57" s="87" t="s">
        <v>85</v>
      </c>
      <c r="AL57" s="87" t="s">
        <v>85</v>
      </c>
      <c r="AM57" s="84" t="s">
        <v>633</v>
      </c>
      <c r="AN57" s="84" t="s">
        <v>634</v>
      </c>
      <c r="AO57" s="84" t="s">
        <v>2107</v>
      </c>
      <c r="AP57" s="68" t="s">
        <v>2229</v>
      </c>
      <c r="AQ57" s="82" t="s">
        <v>94</v>
      </c>
      <c r="AR57" s="87" t="s">
        <v>635</v>
      </c>
      <c r="AS57" s="86">
        <v>4</v>
      </c>
      <c r="AT57" s="86"/>
      <c r="AU57" s="121" t="s">
        <v>412</v>
      </c>
      <c r="AV57" s="88">
        <v>0.26373626373626374</v>
      </c>
      <c r="AW57" s="84" t="s">
        <v>636</v>
      </c>
      <c r="AX57" s="84" t="s">
        <v>80</v>
      </c>
      <c r="AY57" s="86">
        <v>1</v>
      </c>
      <c r="AZ57" s="87" t="s">
        <v>729</v>
      </c>
      <c r="BA57" s="86">
        <v>4</v>
      </c>
      <c r="BB57" s="86"/>
      <c r="BC57" s="84" t="s">
        <v>636</v>
      </c>
      <c r="BD57" s="93" t="s">
        <v>124</v>
      </c>
      <c r="BE57" s="84" t="s">
        <v>182</v>
      </c>
      <c r="BF57" s="93" t="s">
        <v>117</v>
      </c>
      <c r="BG57" s="84" t="s">
        <v>21</v>
      </c>
      <c r="BH57" s="84" t="s">
        <v>81</v>
      </c>
      <c r="BI57" s="84" t="s">
        <v>637</v>
      </c>
      <c r="BJ57" s="89">
        <f>45.5/12</f>
        <v>3.7916666666666665</v>
      </c>
      <c r="BK57" s="84" t="s">
        <v>638</v>
      </c>
      <c r="BL57" s="84" t="s">
        <v>638</v>
      </c>
      <c r="BM57" s="88">
        <v>3.7916666666666665</v>
      </c>
      <c r="BN57" s="84" t="s">
        <v>389</v>
      </c>
      <c r="BO57" s="84" t="s">
        <v>639</v>
      </c>
      <c r="BP57" s="84" t="s">
        <v>64</v>
      </c>
      <c r="BR57" s="122"/>
      <c r="BS57" s="81" t="s">
        <v>2143</v>
      </c>
      <c r="BU57" s="86"/>
      <c r="BV57" s="86"/>
      <c r="BW57" s="90"/>
      <c r="BX57" s="86"/>
      <c r="BY57" s="86"/>
      <c r="CC57" s="86"/>
      <c r="CD57" s="86"/>
      <c r="CE57" s="90"/>
      <c r="CF57" s="86"/>
      <c r="CG57" s="86"/>
      <c r="CK57" s="86"/>
      <c r="CL57" s="86"/>
      <c r="CM57" s="86"/>
      <c r="CN57" s="86"/>
      <c r="CO57" s="86"/>
      <c r="CR57" s="84" t="s">
        <v>572</v>
      </c>
      <c r="CS57" s="86">
        <v>0.41</v>
      </c>
      <c r="CT57" s="86">
        <v>0.25</v>
      </c>
      <c r="CU57" s="86">
        <v>0.56000000000000005</v>
      </c>
      <c r="CV57" s="86">
        <v>5</v>
      </c>
      <c r="CW57" s="86">
        <v>5</v>
      </c>
      <c r="CX57" s="84" t="s">
        <v>640</v>
      </c>
      <c r="CY57" s="84" t="s">
        <v>2225</v>
      </c>
      <c r="CZ57" s="84" t="s">
        <v>80</v>
      </c>
      <c r="DA57" s="82">
        <v>0.41</v>
      </c>
      <c r="DB57" s="82">
        <v>0.25</v>
      </c>
      <c r="DC57" s="82">
        <v>0.56000000000000005</v>
      </c>
      <c r="DD57" s="82">
        <v>5</v>
      </c>
      <c r="DE57" s="82">
        <v>5</v>
      </c>
      <c r="DF57" s="84" t="s">
        <v>640</v>
      </c>
      <c r="DG57" s="84" t="s">
        <v>2224</v>
      </c>
      <c r="DH57" s="84" t="s">
        <v>572</v>
      </c>
      <c r="DI57" s="82">
        <v>0.26</v>
      </c>
      <c r="DJ57" s="82">
        <v>0.25</v>
      </c>
      <c r="DK57" s="82">
        <v>0.5</v>
      </c>
      <c r="DL57" s="82">
        <v>4</v>
      </c>
      <c r="DM57" s="82">
        <v>4</v>
      </c>
      <c r="DN57" s="82" t="s">
        <v>640</v>
      </c>
      <c r="DO57" s="91" t="s">
        <v>1366</v>
      </c>
      <c r="DP57" s="84" t="s">
        <v>80</v>
      </c>
      <c r="DQ57" s="82">
        <v>0.77</v>
      </c>
      <c r="DR57" s="82">
        <v>0.23</v>
      </c>
      <c r="DS57" s="82">
        <v>0.46</v>
      </c>
      <c r="DT57" s="82">
        <v>4</v>
      </c>
      <c r="DU57" s="82">
        <v>4</v>
      </c>
      <c r="DV57" s="84" t="s">
        <v>640</v>
      </c>
      <c r="DW57" s="84" t="s">
        <v>1366</v>
      </c>
      <c r="DX57" s="84" t="s">
        <v>1747</v>
      </c>
      <c r="DY57" s="86">
        <f>DI57-CS57</f>
        <v>-0.14999999999999997</v>
      </c>
      <c r="DZ57" s="86"/>
      <c r="EA57" s="86">
        <f>SQRT((CU57^2)+(DK57^2))</f>
        <v>0.75073297516493842</v>
      </c>
      <c r="EB57" s="86">
        <v>4</v>
      </c>
      <c r="EC57" s="86">
        <v>4</v>
      </c>
      <c r="ED57" s="84" t="s">
        <v>1743</v>
      </c>
      <c r="EE57" s="84" t="s">
        <v>1744</v>
      </c>
      <c r="EF57" s="84" t="s">
        <v>1746</v>
      </c>
      <c r="EG57" s="86">
        <f>DQ57-DA57</f>
        <v>0.36000000000000004</v>
      </c>
      <c r="EH57" s="86"/>
      <c r="EI57" s="86">
        <f>SQRT((DS57^2)+(DC57^2))</f>
        <v>0.72470683727973761</v>
      </c>
      <c r="EJ57" s="86">
        <v>4</v>
      </c>
      <c r="EK57" s="86">
        <v>4</v>
      </c>
      <c r="EL57" s="84" t="s">
        <v>1743</v>
      </c>
      <c r="EM57" s="84" t="s">
        <v>1745</v>
      </c>
      <c r="EN57" s="86">
        <f>DY57</f>
        <v>-0.14999999999999997</v>
      </c>
      <c r="EO57" s="86">
        <f>EA57</f>
        <v>0.75073297516493842</v>
      </c>
      <c r="EP57" s="86">
        <f>EB57</f>
        <v>4</v>
      </c>
      <c r="EQ57" s="86">
        <f>EC57</f>
        <v>4</v>
      </c>
      <c r="ER57" s="86">
        <f>EG57</f>
        <v>0.36000000000000004</v>
      </c>
      <c r="ES57" s="86">
        <f>EI57</f>
        <v>0.72470683727973761</v>
      </c>
      <c r="ET57" s="86">
        <f>EJ57</f>
        <v>4</v>
      </c>
      <c r="EU57" s="86">
        <f>EK57</f>
        <v>4</v>
      </c>
      <c r="EV57" s="86">
        <f t="shared" si="39"/>
        <v>0.73783466982786872</v>
      </c>
      <c r="EW57" s="86">
        <f t="shared" si="40"/>
        <v>-0.69121175902316867</v>
      </c>
      <c r="EX57" s="86">
        <f t="shared" si="41"/>
        <v>0.52986085598824395</v>
      </c>
      <c r="EY57" s="86">
        <f t="shared" si="42"/>
        <v>0.86956521739130432</v>
      </c>
      <c r="EZ57" s="83">
        <f t="shared" si="43"/>
        <v>-0.60105370349840748</v>
      </c>
      <c r="FA57" s="83">
        <f t="shared" si="44"/>
        <v>0.40065093080396519</v>
      </c>
      <c r="FB57" s="83">
        <f t="shared" si="45"/>
        <v>8</v>
      </c>
      <c r="FC57" s="84" t="s">
        <v>125</v>
      </c>
    </row>
    <row r="58" spans="1:160" s="84" customFormat="1" ht="17.100000000000001" customHeight="1">
      <c r="A58" s="123" t="s">
        <v>1901</v>
      </c>
      <c r="B58" s="124" t="s">
        <v>1403</v>
      </c>
      <c r="C58" s="80" t="str">
        <f t="shared" si="10"/>
        <v>Greenberg, C. H., Moorman, C. E., Raybuck, A. L., Sundol, C., Keyser, T. L., Bush, J., Simon D.M. &amp; Warburton, G. S. 2016.  Reptile and amphibian response to oak regeneration treatments in productive southern Appalachian hardwood forest.. Forest Ecology and Management. 377: 139-149.</v>
      </c>
      <c r="D58" s="124" t="s">
        <v>1486</v>
      </c>
      <c r="E58" s="124">
        <v>2016</v>
      </c>
      <c r="F58" s="124" t="s">
        <v>1543</v>
      </c>
      <c r="G58" s="124" t="s">
        <v>20</v>
      </c>
      <c r="H58" s="124">
        <v>377</v>
      </c>
      <c r="I58" s="124" t="s">
        <v>629</v>
      </c>
      <c r="J58" s="124" t="s">
        <v>1818</v>
      </c>
      <c r="K58" s="124" t="s">
        <v>630</v>
      </c>
      <c r="L58" s="124" t="s">
        <v>102</v>
      </c>
      <c r="M58" s="125" t="s">
        <v>73</v>
      </c>
      <c r="N58" s="124" t="s">
        <v>389</v>
      </c>
      <c r="O58" s="124"/>
      <c r="P58" s="124" t="s">
        <v>16</v>
      </c>
      <c r="Q58" s="124" t="s">
        <v>551</v>
      </c>
      <c r="R58" s="124" t="s">
        <v>552</v>
      </c>
      <c r="S58" s="124"/>
      <c r="T58" s="124" t="s">
        <v>553</v>
      </c>
      <c r="U58" s="124" t="s">
        <v>554</v>
      </c>
      <c r="V58" s="124">
        <v>35.4</v>
      </c>
      <c r="W58" s="124">
        <v>-82.9</v>
      </c>
      <c r="X58" s="124" t="s">
        <v>631</v>
      </c>
      <c r="Y58" s="107" t="s">
        <v>1898</v>
      </c>
      <c r="Z58" s="66" t="s">
        <v>2202</v>
      </c>
      <c r="AA58" s="126" t="s">
        <v>555</v>
      </c>
      <c r="AB58" s="124" t="s">
        <v>64</v>
      </c>
      <c r="AC58" s="124" t="s">
        <v>136</v>
      </c>
      <c r="AD58" s="124"/>
      <c r="AE58" s="124" t="s">
        <v>632</v>
      </c>
      <c r="AF58" s="124" t="s">
        <v>589</v>
      </c>
      <c r="AG58" s="124" t="s">
        <v>589</v>
      </c>
      <c r="AH58" s="124" t="s">
        <v>106</v>
      </c>
      <c r="AI58" s="124" t="s">
        <v>93</v>
      </c>
      <c r="AJ58" s="127">
        <v>2</v>
      </c>
      <c r="AK58" s="127">
        <v>2</v>
      </c>
      <c r="AL58" s="127">
        <v>2</v>
      </c>
      <c r="AM58" s="124" t="s">
        <v>633</v>
      </c>
      <c r="AN58" s="124" t="s">
        <v>634</v>
      </c>
      <c r="AO58" s="124" t="s">
        <v>2107</v>
      </c>
      <c r="AP58" s="68" t="s">
        <v>2229</v>
      </c>
      <c r="AQ58" s="128" t="s">
        <v>94</v>
      </c>
      <c r="AR58" s="129" t="s">
        <v>635</v>
      </c>
      <c r="AS58" s="127">
        <v>4</v>
      </c>
      <c r="AT58" s="127"/>
      <c r="AU58" s="130">
        <v>6</v>
      </c>
      <c r="AV58" s="131">
        <v>0.37</v>
      </c>
      <c r="AW58" s="124" t="s">
        <v>636</v>
      </c>
      <c r="AX58" s="124" t="s">
        <v>80</v>
      </c>
      <c r="AY58" s="127">
        <v>1</v>
      </c>
      <c r="AZ58" s="129" t="s">
        <v>729</v>
      </c>
      <c r="BA58" s="127">
        <v>4</v>
      </c>
      <c r="BB58" s="127"/>
      <c r="BC58" s="124" t="s">
        <v>636</v>
      </c>
      <c r="BD58" s="132" t="s">
        <v>124</v>
      </c>
      <c r="BE58" s="124" t="s">
        <v>182</v>
      </c>
      <c r="BF58" s="132" t="s">
        <v>117</v>
      </c>
      <c r="BG58" s="124" t="s">
        <v>21</v>
      </c>
      <c r="BH58" s="124" t="s">
        <v>81</v>
      </c>
      <c r="BI58" s="124" t="s">
        <v>637</v>
      </c>
      <c r="BJ58" s="133">
        <v>5.38</v>
      </c>
      <c r="BK58" s="124" t="s">
        <v>641</v>
      </c>
      <c r="BL58" s="134" t="s">
        <v>642</v>
      </c>
      <c r="BM58" s="131">
        <v>0.21</v>
      </c>
      <c r="BN58" s="124" t="s">
        <v>379</v>
      </c>
      <c r="BO58" s="124" t="s">
        <v>639</v>
      </c>
      <c r="BP58" s="124" t="s">
        <v>64</v>
      </c>
      <c r="BQ58" s="124"/>
      <c r="BR58" s="124"/>
      <c r="BS58" s="124" t="s">
        <v>2143</v>
      </c>
      <c r="BT58" s="124" t="s">
        <v>573</v>
      </c>
      <c r="BU58" s="127">
        <v>0.26</v>
      </c>
      <c r="BV58" s="127">
        <v>0.23</v>
      </c>
      <c r="BW58" s="135">
        <v>0.33</v>
      </c>
      <c r="BX58" s="127">
        <v>2</v>
      </c>
      <c r="BY58" s="127">
        <v>2</v>
      </c>
      <c r="BZ58" s="124" t="s">
        <v>640</v>
      </c>
      <c r="CA58" s="124" t="s">
        <v>2222</v>
      </c>
      <c r="CB58" s="124" t="s">
        <v>80</v>
      </c>
      <c r="CC58" s="127">
        <v>0.41</v>
      </c>
      <c r="CD58" s="127">
        <v>0.25</v>
      </c>
      <c r="CE58" s="135">
        <v>0.35</v>
      </c>
      <c r="CF58" s="127">
        <v>2</v>
      </c>
      <c r="CG58" s="127">
        <v>2</v>
      </c>
      <c r="CH58" s="124" t="s">
        <v>640</v>
      </c>
      <c r="CI58" s="124" t="s">
        <v>2223</v>
      </c>
      <c r="CJ58" s="124"/>
      <c r="CK58" s="127"/>
      <c r="CL58" s="127"/>
      <c r="CM58" s="127"/>
      <c r="CN58" s="127"/>
      <c r="CO58" s="127"/>
      <c r="CP58" s="124"/>
      <c r="CQ58" s="124"/>
      <c r="CR58" s="124"/>
      <c r="CS58" s="127"/>
      <c r="CT58" s="127"/>
      <c r="CU58" s="127"/>
      <c r="CV58" s="127"/>
      <c r="CW58" s="127"/>
      <c r="CX58" s="124"/>
      <c r="CY58" s="124"/>
      <c r="CZ58" s="124"/>
      <c r="DA58" s="128"/>
      <c r="DB58" s="128"/>
      <c r="DC58" s="128"/>
      <c r="DD58" s="128"/>
      <c r="DE58" s="128"/>
      <c r="DF58" s="124"/>
      <c r="DG58" s="124"/>
      <c r="DH58" s="124"/>
      <c r="DI58" s="128"/>
      <c r="DJ58" s="128"/>
      <c r="DK58" s="128"/>
      <c r="DL58" s="128"/>
      <c r="DM58" s="128"/>
      <c r="DN58" s="128"/>
      <c r="DO58" s="124"/>
      <c r="DP58" s="124"/>
      <c r="DQ58" s="128"/>
      <c r="DR58" s="128"/>
      <c r="DS58" s="128"/>
      <c r="DT58" s="128"/>
      <c r="DU58" s="128"/>
      <c r="DV58" s="124"/>
      <c r="DW58" s="124"/>
      <c r="DX58" s="124"/>
      <c r="DY58" s="127"/>
      <c r="DZ58" s="127"/>
      <c r="EA58" s="127"/>
      <c r="EB58" s="127"/>
      <c r="EC58" s="127"/>
      <c r="ED58" s="124"/>
      <c r="EE58" s="124"/>
      <c r="EF58" s="124"/>
      <c r="EG58" s="127"/>
      <c r="EH58" s="127"/>
      <c r="EI58" s="127"/>
      <c r="EJ58" s="127"/>
      <c r="EK58" s="127"/>
      <c r="EL58" s="124"/>
      <c r="EM58" s="124"/>
      <c r="EN58" s="127">
        <v>0.26</v>
      </c>
      <c r="EO58" s="135">
        <v>0.33</v>
      </c>
      <c r="EP58" s="127">
        <v>2</v>
      </c>
      <c r="EQ58" s="127">
        <v>2</v>
      </c>
      <c r="ER58" s="127">
        <v>0.41</v>
      </c>
      <c r="ES58" s="135">
        <v>0.35</v>
      </c>
      <c r="ET58" s="127">
        <v>2</v>
      </c>
      <c r="EU58" s="127">
        <v>2</v>
      </c>
      <c r="EV58" s="127">
        <v>0.33980950500000001</v>
      </c>
      <c r="EW58" s="127">
        <v>-0.44142379100000001</v>
      </c>
      <c r="EX58" s="127">
        <v>1.0243568700000001</v>
      </c>
      <c r="EY58" s="127">
        <v>0.571428571</v>
      </c>
      <c r="EZ58" s="136">
        <v>-0.25224216599999999</v>
      </c>
      <c r="FA58" s="136">
        <v>0.33448387600000001</v>
      </c>
      <c r="FB58" s="136">
        <v>4</v>
      </c>
      <c r="FC58" s="124" t="s">
        <v>125</v>
      </c>
      <c r="FD58" s="124"/>
    </row>
    <row r="59" spans="1:160" s="84" customFormat="1" ht="17.100000000000001" customHeight="1">
      <c r="A59" s="78" t="s">
        <v>1795</v>
      </c>
      <c r="B59" s="79" t="s">
        <v>1929</v>
      </c>
      <c r="C59" s="80" t="str">
        <f t="shared" si="10"/>
        <v>Henning, S. J., &amp; Dickmann, D. I. 1996.  Vegetative responses to prescribed burning in a mature red pine stand. Northern Journal of Applied Forestry. 13: 140-146.</v>
      </c>
      <c r="D59" s="79" t="s">
        <v>1467</v>
      </c>
      <c r="E59" s="81">
        <v>1996</v>
      </c>
      <c r="F59" s="79" t="s">
        <v>369</v>
      </c>
      <c r="G59" s="79" t="s">
        <v>370</v>
      </c>
      <c r="H59" s="81">
        <v>13</v>
      </c>
      <c r="I59" s="81" t="s">
        <v>371</v>
      </c>
      <c r="J59" s="79"/>
      <c r="K59" s="79" t="s">
        <v>372</v>
      </c>
      <c r="L59" s="82" t="s">
        <v>101</v>
      </c>
      <c r="M59" s="83" t="s">
        <v>73</v>
      </c>
      <c r="N59" s="82" t="s">
        <v>389</v>
      </c>
      <c r="O59" s="82"/>
      <c r="P59" s="81" t="s">
        <v>16</v>
      </c>
      <c r="Q59" s="79" t="s">
        <v>373</v>
      </c>
      <c r="R59" s="79" t="s">
        <v>374</v>
      </c>
      <c r="S59" s="79"/>
      <c r="T59" s="79" t="s">
        <v>375</v>
      </c>
      <c r="U59" s="79" t="s">
        <v>376</v>
      </c>
      <c r="V59" s="81">
        <v>45.2</v>
      </c>
      <c r="W59" s="81">
        <v>-84.5</v>
      </c>
      <c r="X59" s="81"/>
      <c r="Y59" s="66" t="s">
        <v>1897</v>
      </c>
      <c r="Z59" s="66" t="s">
        <v>2203</v>
      </c>
      <c r="AA59" s="97" t="s">
        <v>49</v>
      </c>
      <c r="AB59" s="79" t="s">
        <v>103</v>
      </c>
      <c r="AC59" s="79" t="s">
        <v>134</v>
      </c>
      <c r="AD59" s="82" t="s">
        <v>368</v>
      </c>
      <c r="AE59" s="82"/>
      <c r="AF59" s="82" t="s">
        <v>87</v>
      </c>
      <c r="AG59" s="82" t="s">
        <v>92</v>
      </c>
      <c r="AH59" s="82" t="s">
        <v>106</v>
      </c>
      <c r="AI59" s="82" t="s">
        <v>276</v>
      </c>
      <c r="AJ59" s="86">
        <v>3</v>
      </c>
      <c r="AK59" s="86">
        <v>1</v>
      </c>
      <c r="AL59" s="86">
        <v>1</v>
      </c>
      <c r="AM59" s="84" t="s">
        <v>377</v>
      </c>
      <c r="AN59" s="84" t="s">
        <v>526</v>
      </c>
      <c r="AO59" s="84" t="s">
        <v>526</v>
      </c>
      <c r="AP59" s="68" t="s">
        <v>2227</v>
      </c>
      <c r="AQ59" s="82" t="s">
        <v>88</v>
      </c>
      <c r="AR59" s="115">
        <v>2</v>
      </c>
      <c r="AS59" s="86" t="s">
        <v>273</v>
      </c>
      <c r="AT59" s="86"/>
      <c r="AU59" s="90">
        <v>8</v>
      </c>
      <c r="AV59" s="88">
        <v>0.1846153846153846</v>
      </c>
      <c r="AW59" s="82" t="s">
        <v>1162</v>
      </c>
      <c r="AX59" s="82" t="s">
        <v>80</v>
      </c>
      <c r="AY59" s="86">
        <v>4</v>
      </c>
      <c r="AZ59" s="86">
        <v>2</v>
      </c>
      <c r="BA59" s="86" t="s">
        <v>273</v>
      </c>
      <c r="BB59" s="86"/>
      <c r="BC59" s="82" t="s">
        <v>378</v>
      </c>
      <c r="BD59" s="83" t="s">
        <v>124</v>
      </c>
      <c r="BE59" s="82" t="s">
        <v>182</v>
      </c>
      <c r="BF59" s="137" t="s">
        <v>386</v>
      </c>
      <c r="BG59" s="138" t="s">
        <v>21</v>
      </c>
      <c r="BH59" s="82" t="s">
        <v>81</v>
      </c>
      <c r="BI59" s="84" t="s">
        <v>380</v>
      </c>
      <c r="BJ59" s="89">
        <f t="shared" ref="BJ59:BJ72" si="55">BK59/12</f>
        <v>5.416666666666667</v>
      </c>
      <c r="BK59" s="84">
        <v>65</v>
      </c>
      <c r="BL59" s="84">
        <v>65</v>
      </c>
      <c r="BM59" s="88">
        <v>5.416666666666667</v>
      </c>
      <c r="BN59" s="82" t="s">
        <v>379</v>
      </c>
      <c r="BO59" s="82" t="s">
        <v>382</v>
      </c>
      <c r="BP59" s="139" t="s">
        <v>64</v>
      </c>
      <c r="BQ59" s="63"/>
      <c r="BR59" s="138" t="s">
        <v>383</v>
      </c>
      <c r="BS59" s="138" t="s">
        <v>2126</v>
      </c>
      <c r="BT59" s="82" t="s">
        <v>572</v>
      </c>
      <c r="BU59" s="86">
        <v>23</v>
      </c>
      <c r="BV59" s="86">
        <v>2.6</v>
      </c>
      <c r="BW59" s="90">
        <v>4.5033320996790804</v>
      </c>
      <c r="BX59" s="86">
        <v>3</v>
      </c>
      <c r="BY59" s="86">
        <v>3</v>
      </c>
      <c r="BZ59" s="82" t="s">
        <v>159</v>
      </c>
      <c r="CA59" s="82" t="s">
        <v>1339</v>
      </c>
      <c r="CB59" s="82" t="s">
        <v>80</v>
      </c>
      <c r="CC59" s="86">
        <v>22</v>
      </c>
      <c r="CD59" s="86">
        <v>3.5</v>
      </c>
      <c r="CE59" s="90">
        <v>7</v>
      </c>
      <c r="CF59" s="86">
        <v>4</v>
      </c>
      <c r="CG59" s="86">
        <v>4</v>
      </c>
      <c r="CH59" s="82" t="s">
        <v>159</v>
      </c>
      <c r="CI59" s="82" t="s">
        <v>1345</v>
      </c>
      <c r="CJ59" s="82"/>
      <c r="CK59" s="86"/>
      <c r="CL59" s="86"/>
      <c r="CM59" s="86"/>
      <c r="CN59" s="86"/>
      <c r="CO59" s="86"/>
      <c r="CP59" s="82"/>
      <c r="CQ59" s="82"/>
      <c r="CR59" s="82"/>
      <c r="CS59" s="86"/>
      <c r="CT59" s="86"/>
      <c r="CU59" s="86"/>
      <c r="CV59" s="86"/>
      <c r="CW59" s="86"/>
      <c r="CX59" s="82"/>
      <c r="CY59" s="82"/>
      <c r="CZ59" s="82"/>
      <c r="DA59" s="82"/>
      <c r="DB59" s="82"/>
      <c r="DC59" s="82"/>
      <c r="DD59" s="82"/>
      <c r="DE59" s="82"/>
      <c r="DF59" s="82"/>
      <c r="DG59" s="82"/>
      <c r="DH59" s="82"/>
      <c r="DI59" s="82"/>
      <c r="DJ59" s="82"/>
      <c r="DK59" s="82"/>
      <c r="DL59" s="82"/>
      <c r="DM59" s="82"/>
      <c r="DN59" s="82"/>
      <c r="DO59" s="82"/>
      <c r="DP59" s="82"/>
      <c r="DQ59" s="82"/>
      <c r="DR59" s="82"/>
      <c r="DS59" s="82"/>
      <c r="DT59" s="82"/>
      <c r="DU59" s="82"/>
      <c r="DV59" s="82"/>
      <c r="DW59" s="82"/>
      <c r="DX59" s="82"/>
      <c r="DY59" s="86"/>
      <c r="DZ59" s="86"/>
      <c r="EA59" s="86"/>
      <c r="EB59" s="86"/>
      <c r="EC59" s="86"/>
      <c r="ED59" s="82"/>
      <c r="EE59" s="82"/>
      <c r="EF59" s="82"/>
      <c r="EG59" s="86"/>
      <c r="EH59" s="86"/>
      <c r="EI59" s="86"/>
      <c r="EJ59" s="86"/>
      <c r="EK59" s="86"/>
      <c r="EL59" s="82"/>
      <c r="EM59" s="82"/>
      <c r="EN59" s="86">
        <f t="shared" ref="EN59:EN67" si="56">BU59</f>
        <v>23</v>
      </c>
      <c r="EO59" s="90">
        <f t="shared" ref="EO59:EO67" si="57">BW59</f>
        <v>4.5033320996790804</v>
      </c>
      <c r="EP59" s="86">
        <f t="shared" ref="EP59:EP67" si="58">BX59</f>
        <v>3</v>
      </c>
      <c r="EQ59" s="86">
        <f t="shared" ref="EQ59:EQ67" si="59">BY59</f>
        <v>3</v>
      </c>
      <c r="ER59" s="86">
        <f t="shared" ref="ER59:ER67" si="60">CC59</f>
        <v>22</v>
      </c>
      <c r="ES59" s="90">
        <f t="shared" ref="ES59:ES67" si="61">CE59</f>
        <v>7</v>
      </c>
      <c r="ET59" s="86">
        <f t="shared" ref="ET59:ET67" si="62">CF59</f>
        <v>4</v>
      </c>
      <c r="EU59" s="86">
        <f t="shared" ref="EU59:EU67" si="63">CG59</f>
        <v>4</v>
      </c>
      <c r="EV59" s="86">
        <f t="shared" si="39"/>
        <v>6.1247040744839261</v>
      </c>
      <c r="EW59" s="86">
        <f t="shared" si="40"/>
        <v>0.16327319456397754</v>
      </c>
      <c r="EX59" s="86">
        <f t="shared" si="41"/>
        <v>0.58523748590927094</v>
      </c>
      <c r="EY59" s="86">
        <f t="shared" si="42"/>
        <v>0.84210526315789469</v>
      </c>
      <c r="EZ59" s="83">
        <f t="shared" si="43"/>
        <v>0.13749321647492846</v>
      </c>
      <c r="FA59" s="83">
        <f t="shared" si="44"/>
        <v>0.41501605648967682</v>
      </c>
      <c r="FB59" s="83">
        <f t="shared" si="45"/>
        <v>7</v>
      </c>
      <c r="FC59" s="82" t="s">
        <v>1558</v>
      </c>
    </row>
    <row r="60" spans="1:160" s="84" customFormat="1" ht="17.100000000000001" customHeight="1">
      <c r="A60" s="78" t="s">
        <v>1795</v>
      </c>
      <c r="B60" s="79" t="s">
        <v>1930</v>
      </c>
      <c r="C60" s="80" t="str">
        <f t="shared" si="10"/>
        <v>Henning, S. J., &amp; Dickmann, D. I. 1996.  Vegetative responses to prescribed burning in a mature red pine stand. Northern Journal of Applied Forestry. 13: 140-146.</v>
      </c>
      <c r="D60" s="79" t="s">
        <v>1467</v>
      </c>
      <c r="E60" s="81">
        <v>1996</v>
      </c>
      <c r="F60" s="79" t="s">
        <v>369</v>
      </c>
      <c r="G60" s="79" t="s">
        <v>370</v>
      </c>
      <c r="H60" s="81">
        <v>13</v>
      </c>
      <c r="I60" s="81" t="s">
        <v>371</v>
      </c>
      <c r="J60" s="79"/>
      <c r="K60" s="79" t="s">
        <v>372</v>
      </c>
      <c r="L60" s="82" t="s">
        <v>101</v>
      </c>
      <c r="M60" s="83" t="s">
        <v>73</v>
      </c>
      <c r="N60" s="82" t="s">
        <v>389</v>
      </c>
      <c r="O60" s="82"/>
      <c r="P60" s="81" t="s">
        <v>16</v>
      </c>
      <c r="Q60" s="79" t="s">
        <v>373</v>
      </c>
      <c r="R60" s="79" t="s">
        <v>374</v>
      </c>
      <c r="S60" s="79"/>
      <c r="T60" s="79" t="s">
        <v>375</v>
      </c>
      <c r="U60" s="79" t="s">
        <v>376</v>
      </c>
      <c r="V60" s="81">
        <v>45.2</v>
      </c>
      <c r="W60" s="81">
        <v>-84.5</v>
      </c>
      <c r="X60" s="81"/>
      <c r="Y60" s="66" t="s">
        <v>1897</v>
      </c>
      <c r="Z60" s="66" t="s">
        <v>2203</v>
      </c>
      <c r="AA60" s="97" t="s">
        <v>49</v>
      </c>
      <c r="AB60" s="79" t="s">
        <v>103</v>
      </c>
      <c r="AC60" s="79" t="s">
        <v>134</v>
      </c>
      <c r="AD60" s="82" t="s">
        <v>368</v>
      </c>
      <c r="AE60" s="82"/>
      <c r="AF60" s="82" t="s">
        <v>87</v>
      </c>
      <c r="AG60" s="82" t="s">
        <v>92</v>
      </c>
      <c r="AH60" s="82" t="s">
        <v>106</v>
      </c>
      <c r="AI60" s="82" t="s">
        <v>276</v>
      </c>
      <c r="AJ60" s="86">
        <v>3</v>
      </c>
      <c r="AK60" s="86">
        <v>2</v>
      </c>
      <c r="AL60" s="86">
        <v>2</v>
      </c>
      <c r="AM60" s="84" t="s">
        <v>377</v>
      </c>
      <c r="AN60" s="84" t="s">
        <v>526</v>
      </c>
      <c r="AO60" s="84" t="s">
        <v>526</v>
      </c>
      <c r="AP60" s="68" t="s">
        <v>2227</v>
      </c>
      <c r="AQ60" s="82" t="s">
        <v>88</v>
      </c>
      <c r="AR60" s="115">
        <v>2</v>
      </c>
      <c r="AS60" s="86" t="s">
        <v>273</v>
      </c>
      <c r="AT60" s="86"/>
      <c r="AU60" s="90">
        <v>8</v>
      </c>
      <c r="AV60" s="88">
        <v>0.3692307692307692</v>
      </c>
      <c r="AW60" s="82" t="s">
        <v>1162</v>
      </c>
      <c r="AX60" s="82" t="s">
        <v>80</v>
      </c>
      <c r="AY60" s="86">
        <v>4</v>
      </c>
      <c r="AZ60" s="86">
        <v>2</v>
      </c>
      <c r="BA60" s="86" t="s">
        <v>273</v>
      </c>
      <c r="BB60" s="86"/>
      <c r="BC60" s="82" t="s">
        <v>378</v>
      </c>
      <c r="BD60" s="83" t="s">
        <v>124</v>
      </c>
      <c r="BE60" s="82" t="s">
        <v>182</v>
      </c>
      <c r="BF60" s="137" t="s">
        <v>386</v>
      </c>
      <c r="BG60" s="138" t="s">
        <v>21</v>
      </c>
      <c r="BH60" s="82" t="s">
        <v>81</v>
      </c>
      <c r="BI60" s="84" t="s">
        <v>380</v>
      </c>
      <c r="BJ60" s="89">
        <f t="shared" si="55"/>
        <v>5.416666666666667</v>
      </c>
      <c r="BK60" s="84">
        <v>65</v>
      </c>
      <c r="BL60" s="84">
        <v>17</v>
      </c>
      <c r="BM60" s="88">
        <v>1.4166666666666667</v>
      </c>
      <c r="BN60" s="82" t="s">
        <v>379</v>
      </c>
      <c r="BO60" s="82" t="s">
        <v>361</v>
      </c>
      <c r="BP60" s="139" t="s">
        <v>64</v>
      </c>
      <c r="BQ60" s="63"/>
      <c r="BR60" s="138" t="s">
        <v>383</v>
      </c>
      <c r="BS60" s="138" t="s">
        <v>2126</v>
      </c>
      <c r="BT60" s="82" t="s">
        <v>573</v>
      </c>
      <c r="BU60" s="86">
        <v>19</v>
      </c>
      <c r="BV60" s="86">
        <v>4</v>
      </c>
      <c r="BW60" s="90">
        <v>6.9282032302755088</v>
      </c>
      <c r="BX60" s="86">
        <v>3</v>
      </c>
      <c r="BY60" s="86">
        <v>3</v>
      </c>
      <c r="BZ60" s="82" t="s">
        <v>159</v>
      </c>
      <c r="CA60" s="82" t="s">
        <v>1340</v>
      </c>
      <c r="CB60" s="82" t="s">
        <v>80</v>
      </c>
      <c r="CC60" s="86">
        <v>22</v>
      </c>
      <c r="CD60" s="86">
        <v>3.5</v>
      </c>
      <c r="CE60" s="90">
        <v>7</v>
      </c>
      <c r="CF60" s="86">
        <v>4</v>
      </c>
      <c r="CG60" s="86">
        <v>4</v>
      </c>
      <c r="CH60" s="82" t="s">
        <v>159</v>
      </c>
      <c r="CI60" s="82" t="s">
        <v>1345</v>
      </c>
      <c r="CJ60" s="82"/>
      <c r="CK60" s="86"/>
      <c r="CL60" s="86"/>
      <c r="CM60" s="86"/>
      <c r="CN60" s="86"/>
      <c r="CO60" s="86"/>
      <c r="CP60" s="82"/>
      <c r="CQ60" s="82"/>
      <c r="CR60" s="82"/>
      <c r="CS60" s="86"/>
      <c r="CT60" s="86"/>
      <c r="CU60" s="86"/>
      <c r="CV60" s="86"/>
      <c r="CW60" s="86"/>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6"/>
      <c r="DZ60" s="86"/>
      <c r="EA60" s="86"/>
      <c r="EB60" s="86"/>
      <c r="EC60" s="86"/>
      <c r="ED60" s="82"/>
      <c r="EE60" s="82"/>
      <c r="EF60" s="82"/>
      <c r="EG60" s="86"/>
      <c r="EH60" s="86"/>
      <c r="EI60" s="86"/>
      <c r="EJ60" s="86"/>
      <c r="EK60" s="86"/>
      <c r="EL60" s="82"/>
      <c r="EM60" s="82"/>
      <c r="EN60" s="86">
        <f t="shared" si="56"/>
        <v>19</v>
      </c>
      <c r="EO60" s="90">
        <f t="shared" si="57"/>
        <v>6.9282032302755088</v>
      </c>
      <c r="EP60" s="86">
        <f t="shared" si="58"/>
        <v>3</v>
      </c>
      <c r="EQ60" s="86">
        <f t="shared" si="59"/>
        <v>3</v>
      </c>
      <c r="ER60" s="86">
        <f t="shared" si="60"/>
        <v>22</v>
      </c>
      <c r="ES60" s="90">
        <f t="shared" si="61"/>
        <v>7</v>
      </c>
      <c r="ET60" s="86">
        <f t="shared" si="62"/>
        <v>4</v>
      </c>
      <c r="EU60" s="86">
        <f t="shared" si="63"/>
        <v>4</v>
      </c>
      <c r="EV60" s="86">
        <f t="shared" si="39"/>
        <v>6.9713700231733506</v>
      </c>
      <c r="EW60" s="86">
        <f t="shared" si="40"/>
        <v>-0.43033148291193518</v>
      </c>
      <c r="EX60" s="86">
        <f t="shared" si="41"/>
        <v>0.59656084656084662</v>
      </c>
      <c r="EY60" s="86">
        <f t="shared" si="42"/>
        <v>0.84210526315789469</v>
      </c>
      <c r="EZ60" s="83">
        <f t="shared" si="43"/>
        <v>-0.36238440666268223</v>
      </c>
      <c r="FA60" s="83">
        <f t="shared" si="44"/>
        <v>0.42304591889079424</v>
      </c>
      <c r="FB60" s="83">
        <f t="shared" si="45"/>
        <v>7</v>
      </c>
      <c r="FC60" s="82" t="s">
        <v>1558</v>
      </c>
    </row>
    <row r="61" spans="1:160" s="84" customFormat="1" ht="17.100000000000001" customHeight="1">
      <c r="A61" s="78" t="s">
        <v>1795</v>
      </c>
      <c r="B61" s="79" t="s">
        <v>1931</v>
      </c>
      <c r="C61" s="80" t="str">
        <f t="shared" si="10"/>
        <v>Henning, S. J., &amp; Dickmann, D. I. 1996.  Vegetative responses to prescribed burning in a mature red pine stand. Northern Journal of Applied Forestry. 13: 140-146.</v>
      </c>
      <c r="D61" s="79" t="s">
        <v>1467</v>
      </c>
      <c r="E61" s="81">
        <v>1996</v>
      </c>
      <c r="F61" s="79" t="s">
        <v>369</v>
      </c>
      <c r="G61" s="79" t="s">
        <v>370</v>
      </c>
      <c r="H61" s="81">
        <v>13</v>
      </c>
      <c r="I61" s="81" t="s">
        <v>371</v>
      </c>
      <c r="J61" s="79"/>
      <c r="K61" s="79" t="s">
        <v>372</v>
      </c>
      <c r="L61" s="82" t="s">
        <v>101</v>
      </c>
      <c r="M61" s="83" t="s">
        <v>73</v>
      </c>
      <c r="N61" s="82" t="s">
        <v>389</v>
      </c>
      <c r="O61" s="82"/>
      <c r="P61" s="81" t="s">
        <v>16</v>
      </c>
      <c r="Q61" s="79" t="s">
        <v>373</v>
      </c>
      <c r="R61" s="79" t="s">
        <v>374</v>
      </c>
      <c r="S61" s="79"/>
      <c r="T61" s="79" t="s">
        <v>375</v>
      </c>
      <c r="U61" s="79" t="s">
        <v>376</v>
      </c>
      <c r="V61" s="81">
        <v>45.2</v>
      </c>
      <c r="W61" s="81">
        <v>-84.5</v>
      </c>
      <c r="X61" s="81"/>
      <c r="Y61" s="66" t="s">
        <v>1897</v>
      </c>
      <c r="Z61" s="66" t="s">
        <v>2203</v>
      </c>
      <c r="AA61" s="97" t="s">
        <v>49</v>
      </c>
      <c r="AB61" s="79" t="s">
        <v>103</v>
      </c>
      <c r="AC61" s="79" t="s">
        <v>134</v>
      </c>
      <c r="AD61" s="82" t="s">
        <v>368</v>
      </c>
      <c r="AE61" s="82"/>
      <c r="AF61" s="82" t="s">
        <v>87</v>
      </c>
      <c r="AG61" s="82" t="s">
        <v>92</v>
      </c>
      <c r="AH61" s="82" t="s">
        <v>106</v>
      </c>
      <c r="AI61" s="82" t="s">
        <v>276</v>
      </c>
      <c r="AJ61" s="86">
        <v>3</v>
      </c>
      <c r="AK61" s="86">
        <v>4</v>
      </c>
      <c r="AL61" s="86">
        <v>4</v>
      </c>
      <c r="AM61" s="84" t="s">
        <v>377</v>
      </c>
      <c r="AN61" s="84" t="s">
        <v>526</v>
      </c>
      <c r="AO61" s="84" t="s">
        <v>526</v>
      </c>
      <c r="AP61" s="68" t="s">
        <v>2227</v>
      </c>
      <c r="AQ61" s="82" t="s">
        <v>88</v>
      </c>
      <c r="AR61" s="115">
        <v>2</v>
      </c>
      <c r="AS61" s="86" t="s">
        <v>273</v>
      </c>
      <c r="AT61" s="86"/>
      <c r="AU61" s="90">
        <v>8</v>
      </c>
      <c r="AV61" s="88">
        <v>0.73846153846153839</v>
      </c>
      <c r="AW61" s="82" t="s">
        <v>1162</v>
      </c>
      <c r="AX61" s="82" t="s">
        <v>80</v>
      </c>
      <c r="AY61" s="86">
        <v>4</v>
      </c>
      <c r="AZ61" s="86">
        <v>2</v>
      </c>
      <c r="BA61" s="86" t="s">
        <v>273</v>
      </c>
      <c r="BB61" s="86"/>
      <c r="BC61" s="82" t="s">
        <v>378</v>
      </c>
      <c r="BD61" s="83" t="s">
        <v>124</v>
      </c>
      <c r="BE61" s="82" t="s">
        <v>182</v>
      </c>
      <c r="BF61" s="137" t="s">
        <v>386</v>
      </c>
      <c r="BG61" s="138" t="s">
        <v>21</v>
      </c>
      <c r="BH61" s="82" t="s">
        <v>81</v>
      </c>
      <c r="BI61" s="84" t="s">
        <v>380</v>
      </c>
      <c r="BJ61" s="89">
        <f t="shared" si="55"/>
        <v>5.416666666666667</v>
      </c>
      <c r="BK61" s="84">
        <v>65</v>
      </c>
      <c r="BL61" s="84">
        <v>5</v>
      </c>
      <c r="BM61" s="88">
        <v>0.41666666666666669</v>
      </c>
      <c r="BN61" s="82" t="s">
        <v>379</v>
      </c>
      <c r="BO61" s="82" t="s">
        <v>382</v>
      </c>
      <c r="BP61" s="139" t="s">
        <v>64</v>
      </c>
      <c r="BQ61" s="63"/>
      <c r="BR61" s="82" t="s">
        <v>383</v>
      </c>
      <c r="BS61" s="82" t="s">
        <v>2126</v>
      </c>
      <c r="BT61" s="82" t="s">
        <v>418</v>
      </c>
      <c r="BU61" s="86">
        <v>21</v>
      </c>
      <c r="BV61" s="86">
        <v>2.5</v>
      </c>
      <c r="BW61" s="90">
        <v>4.3301270189221928</v>
      </c>
      <c r="BX61" s="86">
        <v>3</v>
      </c>
      <c r="BY61" s="86">
        <v>3</v>
      </c>
      <c r="BZ61" s="82" t="s">
        <v>159</v>
      </c>
      <c r="CA61" s="82" t="s">
        <v>1341</v>
      </c>
      <c r="CB61" s="82" t="s">
        <v>80</v>
      </c>
      <c r="CC61" s="86">
        <v>22</v>
      </c>
      <c r="CD61" s="86">
        <v>3.5</v>
      </c>
      <c r="CE61" s="90">
        <v>7</v>
      </c>
      <c r="CF61" s="86">
        <v>4</v>
      </c>
      <c r="CG61" s="86">
        <v>4</v>
      </c>
      <c r="CH61" s="82" t="s">
        <v>159</v>
      </c>
      <c r="CI61" s="82" t="s">
        <v>1345</v>
      </c>
      <c r="CJ61" s="82"/>
      <c r="CK61" s="86"/>
      <c r="CL61" s="86"/>
      <c r="CM61" s="86"/>
      <c r="CN61" s="86"/>
      <c r="CO61" s="86"/>
      <c r="CP61" s="82"/>
      <c r="CQ61" s="82"/>
      <c r="CR61" s="82"/>
      <c r="CS61" s="86"/>
      <c r="CT61" s="86"/>
      <c r="CU61" s="86"/>
      <c r="CV61" s="86"/>
      <c r="CW61" s="86"/>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6"/>
      <c r="DZ61" s="86"/>
      <c r="EA61" s="86"/>
      <c r="EB61" s="86"/>
      <c r="EC61" s="86"/>
      <c r="ED61" s="82"/>
      <c r="EE61" s="82"/>
      <c r="EF61" s="82"/>
      <c r="EG61" s="86"/>
      <c r="EH61" s="86"/>
      <c r="EI61" s="86"/>
      <c r="EJ61" s="86"/>
      <c r="EK61" s="86"/>
      <c r="EL61" s="82"/>
      <c r="EM61" s="82"/>
      <c r="EN61" s="86">
        <f t="shared" si="56"/>
        <v>21</v>
      </c>
      <c r="EO61" s="90">
        <f t="shared" si="57"/>
        <v>4.3301270189221928</v>
      </c>
      <c r="EP61" s="86">
        <f t="shared" si="58"/>
        <v>3</v>
      </c>
      <c r="EQ61" s="86">
        <f t="shared" si="59"/>
        <v>3</v>
      </c>
      <c r="ER61" s="86">
        <f t="shared" si="60"/>
        <v>22</v>
      </c>
      <c r="ES61" s="90">
        <f t="shared" si="61"/>
        <v>7</v>
      </c>
      <c r="ET61" s="86">
        <f t="shared" si="62"/>
        <v>4</v>
      </c>
      <c r="EU61" s="86">
        <f t="shared" si="63"/>
        <v>4</v>
      </c>
      <c r="EV61" s="86">
        <f t="shared" si="39"/>
        <v>6.0745370193949757</v>
      </c>
      <c r="EW61" s="86">
        <f t="shared" si="40"/>
        <v>-0.16462159944159827</v>
      </c>
      <c r="EX61" s="86">
        <f t="shared" si="41"/>
        <v>0.58526906697638403</v>
      </c>
      <c r="EY61" s="86">
        <f t="shared" si="42"/>
        <v>0.84210526315789469</v>
      </c>
      <c r="EZ61" s="83">
        <f t="shared" si="43"/>
        <v>-0.13862871531924065</v>
      </c>
      <c r="FA61" s="83">
        <f t="shared" si="44"/>
        <v>0.41503845192785122</v>
      </c>
      <c r="FB61" s="83">
        <f t="shared" si="45"/>
        <v>7</v>
      </c>
      <c r="FC61" s="82" t="s">
        <v>1558</v>
      </c>
    </row>
    <row r="62" spans="1:160" s="84" customFormat="1" ht="17.100000000000001" customHeight="1">
      <c r="A62" s="78" t="s">
        <v>1795</v>
      </c>
      <c r="B62" s="79" t="s">
        <v>1929</v>
      </c>
      <c r="C62" s="80" t="str">
        <f t="shared" si="10"/>
        <v>Henning, S. J., &amp; Dickmann, D. I. 1996.  Vegetative responses to prescribed burning in a mature red pine stand. Northern Journal of Applied Forestry. 13: 140-146.</v>
      </c>
      <c r="D62" s="79" t="s">
        <v>1467</v>
      </c>
      <c r="E62" s="81">
        <v>1996</v>
      </c>
      <c r="F62" s="79" t="s">
        <v>369</v>
      </c>
      <c r="G62" s="79" t="s">
        <v>370</v>
      </c>
      <c r="H62" s="81">
        <v>13</v>
      </c>
      <c r="I62" s="81" t="s">
        <v>371</v>
      </c>
      <c r="J62" s="79"/>
      <c r="K62" s="79" t="s">
        <v>372</v>
      </c>
      <c r="L62" s="82" t="s">
        <v>101</v>
      </c>
      <c r="M62" s="83" t="s">
        <v>73</v>
      </c>
      <c r="N62" s="82" t="s">
        <v>389</v>
      </c>
      <c r="O62" s="82"/>
      <c r="P62" s="81" t="s">
        <v>16</v>
      </c>
      <c r="Q62" s="79" t="s">
        <v>373</v>
      </c>
      <c r="R62" s="79" t="s">
        <v>374</v>
      </c>
      <c r="S62" s="79"/>
      <c r="T62" s="79" t="s">
        <v>375</v>
      </c>
      <c r="U62" s="79" t="s">
        <v>376</v>
      </c>
      <c r="V62" s="81">
        <v>45.2</v>
      </c>
      <c r="W62" s="81">
        <v>-84.5</v>
      </c>
      <c r="X62" s="81"/>
      <c r="Y62" s="66" t="s">
        <v>1897</v>
      </c>
      <c r="Z62" s="66" t="s">
        <v>2203</v>
      </c>
      <c r="AA62" s="97" t="s">
        <v>49</v>
      </c>
      <c r="AB62" s="79" t="s">
        <v>103</v>
      </c>
      <c r="AC62" s="79" t="s">
        <v>134</v>
      </c>
      <c r="AD62" s="82" t="s">
        <v>368</v>
      </c>
      <c r="AE62" s="82"/>
      <c r="AF62" s="82" t="s">
        <v>87</v>
      </c>
      <c r="AG62" s="82" t="s">
        <v>92</v>
      </c>
      <c r="AH62" s="82" t="s">
        <v>106</v>
      </c>
      <c r="AI62" s="82" t="s">
        <v>276</v>
      </c>
      <c r="AJ62" s="86">
        <v>3</v>
      </c>
      <c r="AK62" s="86">
        <v>1</v>
      </c>
      <c r="AL62" s="86">
        <v>1</v>
      </c>
      <c r="AM62" s="84" t="s">
        <v>377</v>
      </c>
      <c r="AN62" s="84" t="s">
        <v>526</v>
      </c>
      <c r="AO62" s="84" t="s">
        <v>526</v>
      </c>
      <c r="AP62" s="68" t="s">
        <v>2227</v>
      </c>
      <c r="AQ62" s="82" t="s">
        <v>88</v>
      </c>
      <c r="AR62" s="115">
        <v>2</v>
      </c>
      <c r="AS62" s="86" t="s">
        <v>227</v>
      </c>
      <c r="AT62" s="86"/>
      <c r="AU62" s="90">
        <v>8</v>
      </c>
      <c r="AV62" s="88">
        <v>0.1846153846153846</v>
      </c>
      <c r="AW62" s="82" t="s">
        <v>1163</v>
      </c>
      <c r="AX62" s="82" t="s">
        <v>80</v>
      </c>
      <c r="AY62" s="86">
        <v>4</v>
      </c>
      <c r="AZ62" s="86">
        <v>2</v>
      </c>
      <c r="BA62" s="86" t="s">
        <v>227</v>
      </c>
      <c r="BB62" s="86"/>
      <c r="BC62" s="82" t="s">
        <v>378</v>
      </c>
      <c r="BD62" s="83" t="s">
        <v>124</v>
      </c>
      <c r="BE62" s="82" t="s">
        <v>182</v>
      </c>
      <c r="BF62" s="137" t="s">
        <v>387</v>
      </c>
      <c r="BG62" s="138" t="s">
        <v>21</v>
      </c>
      <c r="BH62" s="82" t="s">
        <v>81</v>
      </c>
      <c r="BI62" s="84" t="s">
        <v>381</v>
      </c>
      <c r="BJ62" s="89">
        <f t="shared" si="55"/>
        <v>5.416666666666667</v>
      </c>
      <c r="BK62" s="84">
        <v>65</v>
      </c>
      <c r="BL62" s="84">
        <v>65</v>
      </c>
      <c r="BM62" s="88">
        <v>5.416666666666667</v>
      </c>
      <c r="BN62" s="82" t="s">
        <v>379</v>
      </c>
      <c r="BO62" s="82" t="s">
        <v>382</v>
      </c>
      <c r="BP62" s="139" t="s">
        <v>64</v>
      </c>
      <c r="BQ62" s="63"/>
      <c r="BR62" s="82" t="s">
        <v>384</v>
      </c>
      <c r="BS62" s="82" t="s">
        <v>2127</v>
      </c>
      <c r="BT62" s="82" t="s">
        <v>574</v>
      </c>
      <c r="BU62" s="86">
        <v>7.7</v>
      </c>
      <c r="BV62" s="86">
        <v>0.7</v>
      </c>
      <c r="BW62" s="90">
        <v>1.2124355652982139</v>
      </c>
      <c r="BX62" s="86">
        <v>3</v>
      </c>
      <c r="BY62" s="86">
        <v>3</v>
      </c>
      <c r="BZ62" s="82" t="s">
        <v>351</v>
      </c>
      <c r="CA62" s="82" t="s">
        <v>1342</v>
      </c>
      <c r="CB62" s="82" t="s">
        <v>80</v>
      </c>
      <c r="CC62" s="86">
        <v>11.8</v>
      </c>
      <c r="CD62" s="86">
        <v>1.6</v>
      </c>
      <c r="CE62" s="90">
        <v>3.2</v>
      </c>
      <c r="CF62" s="86">
        <v>4</v>
      </c>
      <c r="CG62" s="86">
        <v>4</v>
      </c>
      <c r="CH62" s="82" t="s">
        <v>351</v>
      </c>
      <c r="CI62" s="82" t="s">
        <v>1345</v>
      </c>
      <c r="CJ62" s="82"/>
      <c r="CK62" s="86"/>
      <c r="CL62" s="86"/>
      <c r="CM62" s="86"/>
      <c r="CN62" s="86"/>
      <c r="CO62" s="86"/>
      <c r="CP62" s="82"/>
      <c r="CQ62" s="82"/>
      <c r="CR62" s="82"/>
      <c r="CS62" s="86"/>
      <c r="CT62" s="86"/>
      <c r="CU62" s="86"/>
      <c r="CV62" s="86"/>
      <c r="CW62" s="86"/>
      <c r="CX62" s="82"/>
      <c r="CY62" s="82"/>
      <c r="CZ62" s="82"/>
      <c r="DA62" s="82"/>
      <c r="DB62" s="82"/>
      <c r="DC62" s="82"/>
      <c r="DD62" s="82"/>
      <c r="DE62" s="82"/>
      <c r="DF62" s="82"/>
      <c r="DG62" s="82"/>
      <c r="DH62" s="82"/>
      <c r="DI62" s="82"/>
      <c r="DJ62" s="82"/>
      <c r="DK62" s="82"/>
      <c r="DL62" s="82"/>
      <c r="DM62" s="82"/>
      <c r="DN62" s="82"/>
      <c r="DO62" s="82"/>
      <c r="DP62" s="82"/>
      <c r="DQ62" s="82"/>
      <c r="DR62" s="82"/>
      <c r="DS62" s="82"/>
      <c r="DT62" s="82"/>
      <c r="DU62" s="82"/>
      <c r="DV62" s="82"/>
      <c r="DW62" s="82"/>
      <c r="DX62" s="82"/>
      <c r="DY62" s="86"/>
      <c r="DZ62" s="86"/>
      <c r="EA62" s="86"/>
      <c r="EB62" s="86"/>
      <c r="EC62" s="86"/>
      <c r="ED62" s="82"/>
      <c r="EE62" s="82"/>
      <c r="EF62" s="82"/>
      <c r="EG62" s="86"/>
      <c r="EH62" s="86"/>
      <c r="EI62" s="86"/>
      <c r="EJ62" s="86"/>
      <c r="EK62" s="86"/>
      <c r="EL62" s="82"/>
      <c r="EM62" s="82"/>
      <c r="EN62" s="86">
        <f t="shared" si="56"/>
        <v>7.7</v>
      </c>
      <c r="EO62" s="90">
        <f t="shared" si="57"/>
        <v>1.2124355652982139</v>
      </c>
      <c r="EP62" s="86">
        <f t="shared" si="58"/>
        <v>3</v>
      </c>
      <c r="EQ62" s="86">
        <f t="shared" si="59"/>
        <v>3</v>
      </c>
      <c r="ER62" s="86">
        <f t="shared" si="60"/>
        <v>11.8</v>
      </c>
      <c r="ES62" s="90">
        <f t="shared" si="61"/>
        <v>3.2</v>
      </c>
      <c r="ET62" s="86">
        <f t="shared" si="62"/>
        <v>4</v>
      </c>
      <c r="EU62" s="86">
        <f t="shared" si="63"/>
        <v>4</v>
      </c>
      <c r="EV62" s="86">
        <f t="shared" si="39"/>
        <v>2.5946097972527586</v>
      </c>
      <c r="EW62" s="86">
        <f t="shared" si="40"/>
        <v>-1.5801990743815078</v>
      </c>
      <c r="EX62" s="86">
        <f t="shared" si="41"/>
        <v>0.7616925558102029</v>
      </c>
      <c r="EY62" s="86">
        <f t="shared" si="42"/>
        <v>0.84210526315789469</v>
      </c>
      <c r="EZ62" s="83">
        <f t="shared" si="43"/>
        <v>-1.3306939573739012</v>
      </c>
      <c r="FA62" s="83">
        <f t="shared" si="44"/>
        <v>0.54014762960501916</v>
      </c>
      <c r="FB62" s="83">
        <f t="shared" si="45"/>
        <v>7</v>
      </c>
      <c r="FC62" s="82" t="s">
        <v>1558</v>
      </c>
    </row>
    <row r="63" spans="1:160" s="84" customFormat="1" ht="17.100000000000001" customHeight="1">
      <c r="A63" s="78" t="s">
        <v>1795</v>
      </c>
      <c r="B63" s="79" t="s">
        <v>1930</v>
      </c>
      <c r="C63" s="80" t="str">
        <f t="shared" si="10"/>
        <v>Henning, S. J., &amp; Dickmann, D. I. 1996.  Vegetative responses to prescribed burning in a mature red pine stand. Northern Journal of Applied Forestry. 13: 140-146.</v>
      </c>
      <c r="D63" s="79" t="s">
        <v>1467</v>
      </c>
      <c r="E63" s="81">
        <v>1996</v>
      </c>
      <c r="F63" s="79" t="s">
        <v>369</v>
      </c>
      <c r="G63" s="79" t="s">
        <v>370</v>
      </c>
      <c r="H63" s="81">
        <v>13</v>
      </c>
      <c r="I63" s="81" t="s">
        <v>371</v>
      </c>
      <c r="J63" s="79"/>
      <c r="K63" s="79" t="s">
        <v>372</v>
      </c>
      <c r="L63" s="82" t="s">
        <v>101</v>
      </c>
      <c r="M63" s="83" t="s">
        <v>73</v>
      </c>
      <c r="N63" s="82" t="s">
        <v>389</v>
      </c>
      <c r="O63" s="82"/>
      <c r="P63" s="81" t="s">
        <v>16</v>
      </c>
      <c r="Q63" s="79" t="s">
        <v>373</v>
      </c>
      <c r="R63" s="79" t="s">
        <v>374</v>
      </c>
      <c r="S63" s="79"/>
      <c r="T63" s="79" t="s">
        <v>375</v>
      </c>
      <c r="U63" s="79" t="s">
        <v>376</v>
      </c>
      <c r="V63" s="81">
        <v>45.2</v>
      </c>
      <c r="W63" s="81">
        <v>-84.5</v>
      </c>
      <c r="X63" s="81"/>
      <c r="Y63" s="66" t="s">
        <v>1897</v>
      </c>
      <c r="Z63" s="66" t="s">
        <v>2203</v>
      </c>
      <c r="AA63" s="97" t="s">
        <v>49</v>
      </c>
      <c r="AB63" s="79" t="s">
        <v>103</v>
      </c>
      <c r="AC63" s="79" t="s">
        <v>134</v>
      </c>
      <c r="AD63" s="82" t="s">
        <v>368</v>
      </c>
      <c r="AE63" s="82"/>
      <c r="AF63" s="82" t="s">
        <v>87</v>
      </c>
      <c r="AG63" s="82" t="s">
        <v>92</v>
      </c>
      <c r="AH63" s="82" t="s">
        <v>106</v>
      </c>
      <c r="AI63" s="82" t="s">
        <v>276</v>
      </c>
      <c r="AJ63" s="86">
        <v>3</v>
      </c>
      <c r="AK63" s="86">
        <v>2</v>
      </c>
      <c r="AL63" s="86">
        <v>2</v>
      </c>
      <c r="AM63" s="84" t="s">
        <v>377</v>
      </c>
      <c r="AN63" s="84" t="s">
        <v>526</v>
      </c>
      <c r="AO63" s="84" t="s">
        <v>526</v>
      </c>
      <c r="AP63" s="68" t="s">
        <v>2227</v>
      </c>
      <c r="AQ63" s="82" t="s">
        <v>88</v>
      </c>
      <c r="AR63" s="115">
        <v>2</v>
      </c>
      <c r="AS63" s="86" t="s">
        <v>227</v>
      </c>
      <c r="AT63" s="86"/>
      <c r="AU63" s="90">
        <v>8</v>
      </c>
      <c r="AV63" s="88">
        <v>0.3692307692307692</v>
      </c>
      <c r="AW63" s="82" t="s">
        <v>1164</v>
      </c>
      <c r="AX63" s="82" t="s">
        <v>80</v>
      </c>
      <c r="AY63" s="86">
        <v>4</v>
      </c>
      <c r="AZ63" s="86">
        <v>2</v>
      </c>
      <c r="BA63" s="86" t="s">
        <v>227</v>
      </c>
      <c r="BB63" s="86"/>
      <c r="BC63" s="82" t="s">
        <v>378</v>
      </c>
      <c r="BD63" s="83" t="s">
        <v>124</v>
      </c>
      <c r="BE63" s="82" t="s">
        <v>182</v>
      </c>
      <c r="BF63" s="137" t="s">
        <v>387</v>
      </c>
      <c r="BG63" s="138" t="s">
        <v>21</v>
      </c>
      <c r="BH63" s="82" t="s">
        <v>81</v>
      </c>
      <c r="BI63" s="84" t="s">
        <v>381</v>
      </c>
      <c r="BJ63" s="89">
        <f t="shared" si="55"/>
        <v>5.416666666666667</v>
      </c>
      <c r="BK63" s="84">
        <v>65</v>
      </c>
      <c r="BL63" s="84">
        <v>17</v>
      </c>
      <c r="BM63" s="88">
        <v>1.4166666666666667</v>
      </c>
      <c r="BN63" s="82" t="s">
        <v>379</v>
      </c>
      <c r="BO63" s="82" t="s">
        <v>361</v>
      </c>
      <c r="BP63" s="139" t="s">
        <v>64</v>
      </c>
      <c r="BQ63" s="63"/>
      <c r="BR63" s="82" t="s">
        <v>384</v>
      </c>
      <c r="BS63" s="82" t="s">
        <v>2127</v>
      </c>
      <c r="BT63" s="82" t="s">
        <v>573</v>
      </c>
      <c r="BU63" s="86">
        <v>5.3</v>
      </c>
      <c r="BV63" s="86">
        <v>0.9</v>
      </c>
      <c r="BW63" s="90">
        <v>1.5588457268119895</v>
      </c>
      <c r="BX63" s="86">
        <v>3</v>
      </c>
      <c r="BY63" s="86">
        <v>3</v>
      </c>
      <c r="BZ63" s="82" t="s">
        <v>351</v>
      </c>
      <c r="CA63" s="82" t="s">
        <v>1343</v>
      </c>
      <c r="CB63" s="82" t="s">
        <v>80</v>
      </c>
      <c r="CC63" s="86">
        <v>11.8</v>
      </c>
      <c r="CD63" s="86">
        <v>1.6</v>
      </c>
      <c r="CE63" s="90">
        <v>3.2</v>
      </c>
      <c r="CF63" s="86">
        <v>4</v>
      </c>
      <c r="CG63" s="86">
        <v>4</v>
      </c>
      <c r="CH63" s="82" t="s">
        <v>351</v>
      </c>
      <c r="CI63" s="82" t="s">
        <v>1345</v>
      </c>
      <c r="CJ63" s="82"/>
      <c r="CK63" s="86"/>
      <c r="CL63" s="86"/>
      <c r="CM63" s="86"/>
      <c r="CN63" s="86"/>
      <c r="CO63" s="86"/>
      <c r="CP63" s="82"/>
      <c r="CQ63" s="82"/>
      <c r="CR63" s="82"/>
      <c r="CS63" s="86"/>
      <c r="CT63" s="86"/>
      <c r="CU63" s="86"/>
      <c r="CV63" s="86"/>
      <c r="CW63" s="86"/>
      <c r="CX63" s="82"/>
      <c r="CY63" s="82"/>
      <c r="CZ63" s="82"/>
      <c r="DA63" s="82"/>
      <c r="DB63" s="82"/>
      <c r="DC63" s="82"/>
      <c r="DD63" s="82"/>
      <c r="DE63" s="82"/>
      <c r="DF63" s="82"/>
      <c r="DG63" s="82"/>
      <c r="DH63" s="82"/>
      <c r="DI63" s="82"/>
      <c r="DJ63" s="82"/>
      <c r="DK63" s="82"/>
      <c r="DL63" s="82"/>
      <c r="DM63" s="82"/>
      <c r="DN63" s="82"/>
      <c r="DO63" s="82"/>
      <c r="DP63" s="82"/>
      <c r="DQ63" s="82"/>
      <c r="DR63" s="82"/>
      <c r="DS63" s="82"/>
      <c r="DT63" s="82"/>
      <c r="DU63" s="82"/>
      <c r="DV63" s="82"/>
      <c r="DW63" s="82"/>
      <c r="DX63" s="82"/>
      <c r="DY63" s="86"/>
      <c r="DZ63" s="86"/>
      <c r="EA63" s="86"/>
      <c r="EB63" s="86"/>
      <c r="EC63" s="86"/>
      <c r="ED63" s="82"/>
      <c r="EE63" s="82"/>
      <c r="EF63" s="82"/>
      <c r="EG63" s="86"/>
      <c r="EH63" s="86"/>
      <c r="EI63" s="86"/>
      <c r="EJ63" s="86"/>
      <c r="EK63" s="86"/>
      <c r="EL63" s="82"/>
      <c r="EM63" s="82"/>
      <c r="EN63" s="86">
        <f t="shared" si="56"/>
        <v>5.3</v>
      </c>
      <c r="EO63" s="90">
        <f t="shared" si="57"/>
        <v>1.5588457268119895</v>
      </c>
      <c r="EP63" s="86">
        <f t="shared" si="58"/>
        <v>3</v>
      </c>
      <c r="EQ63" s="86">
        <f t="shared" si="59"/>
        <v>3</v>
      </c>
      <c r="ER63" s="86">
        <f t="shared" si="60"/>
        <v>11.8</v>
      </c>
      <c r="ES63" s="90">
        <f t="shared" si="61"/>
        <v>3.2</v>
      </c>
      <c r="ET63" s="86">
        <f t="shared" si="62"/>
        <v>4</v>
      </c>
      <c r="EU63" s="86">
        <f t="shared" si="63"/>
        <v>4</v>
      </c>
      <c r="EV63" s="86">
        <f t="shared" si="39"/>
        <v>2.6675831758353854</v>
      </c>
      <c r="EW63" s="86">
        <f t="shared" si="40"/>
        <v>-2.4366625411649809</v>
      </c>
      <c r="EX63" s="86">
        <f t="shared" si="41"/>
        <v>1.0074279290130892</v>
      </c>
      <c r="EY63" s="86">
        <f t="shared" si="42"/>
        <v>0.84210526315789469</v>
      </c>
      <c r="EZ63" s="83">
        <f t="shared" si="43"/>
        <v>-2.0519263504547207</v>
      </c>
      <c r="FA63" s="83">
        <f t="shared" si="44"/>
        <v>0.71440872528352017</v>
      </c>
      <c r="FB63" s="83">
        <f t="shared" si="45"/>
        <v>7</v>
      </c>
      <c r="FC63" s="82" t="s">
        <v>1558</v>
      </c>
    </row>
    <row r="64" spans="1:160" s="84" customFormat="1" ht="17.100000000000001" customHeight="1">
      <c r="A64" s="78" t="s">
        <v>1795</v>
      </c>
      <c r="B64" s="79" t="s">
        <v>1931</v>
      </c>
      <c r="C64" s="80" t="str">
        <f t="shared" si="10"/>
        <v>Henning, S. J., &amp; Dickmann, D. I. 1996.  Vegetative responses to prescribed burning in a mature red pine stand. Northern Journal of Applied Forestry. 13: 140-146.</v>
      </c>
      <c r="D64" s="79" t="s">
        <v>1467</v>
      </c>
      <c r="E64" s="81">
        <v>1996</v>
      </c>
      <c r="F64" s="79" t="s">
        <v>369</v>
      </c>
      <c r="G64" s="79" t="s">
        <v>370</v>
      </c>
      <c r="H64" s="81">
        <v>13</v>
      </c>
      <c r="I64" s="81" t="s">
        <v>371</v>
      </c>
      <c r="J64" s="79"/>
      <c r="K64" s="79" t="s">
        <v>372</v>
      </c>
      <c r="L64" s="82" t="s">
        <v>101</v>
      </c>
      <c r="M64" s="83" t="s">
        <v>73</v>
      </c>
      <c r="N64" s="82" t="s">
        <v>389</v>
      </c>
      <c r="O64" s="82"/>
      <c r="P64" s="81" t="s">
        <v>16</v>
      </c>
      <c r="Q64" s="79" t="s">
        <v>373</v>
      </c>
      <c r="R64" s="79" t="s">
        <v>374</v>
      </c>
      <c r="S64" s="79"/>
      <c r="T64" s="79" t="s">
        <v>375</v>
      </c>
      <c r="U64" s="79" t="s">
        <v>376</v>
      </c>
      <c r="V64" s="81">
        <v>45.2</v>
      </c>
      <c r="W64" s="81">
        <v>-84.5</v>
      </c>
      <c r="X64" s="81"/>
      <c r="Y64" s="66" t="s">
        <v>1897</v>
      </c>
      <c r="Z64" s="66" t="s">
        <v>2203</v>
      </c>
      <c r="AA64" s="97" t="s">
        <v>49</v>
      </c>
      <c r="AB64" s="79" t="s">
        <v>103</v>
      </c>
      <c r="AC64" s="79" t="s">
        <v>134</v>
      </c>
      <c r="AD64" s="82" t="s">
        <v>368</v>
      </c>
      <c r="AE64" s="82"/>
      <c r="AF64" s="82" t="s">
        <v>87</v>
      </c>
      <c r="AG64" s="82" t="s">
        <v>92</v>
      </c>
      <c r="AH64" s="82" t="s">
        <v>106</v>
      </c>
      <c r="AI64" s="82" t="s">
        <v>276</v>
      </c>
      <c r="AJ64" s="86">
        <v>3</v>
      </c>
      <c r="AK64" s="86">
        <v>4</v>
      </c>
      <c r="AL64" s="86">
        <v>4</v>
      </c>
      <c r="AM64" s="84" t="s">
        <v>377</v>
      </c>
      <c r="AN64" s="84" t="s">
        <v>526</v>
      </c>
      <c r="AO64" s="84" t="s">
        <v>526</v>
      </c>
      <c r="AP64" s="68" t="s">
        <v>2227</v>
      </c>
      <c r="AQ64" s="82" t="s">
        <v>88</v>
      </c>
      <c r="AR64" s="115">
        <v>2</v>
      </c>
      <c r="AS64" s="86" t="s">
        <v>227</v>
      </c>
      <c r="AT64" s="86"/>
      <c r="AU64" s="90">
        <v>8</v>
      </c>
      <c r="AV64" s="88">
        <v>0.73846153846153839</v>
      </c>
      <c r="AW64" s="82" t="s">
        <v>1164</v>
      </c>
      <c r="AX64" s="82" t="s">
        <v>80</v>
      </c>
      <c r="AY64" s="86">
        <v>4</v>
      </c>
      <c r="AZ64" s="86">
        <v>2</v>
      </c>
      <c r="BA64" s="86" t="s">
        <v>227</v>
      </c>
      <c r="BB64" s="86"/>
      <c r="BC64" s="82" t="s">
        <v>378</v>
      </c>
      <c r="BD64" s="83" t="s">
        <v>124</v>
      </c>
      <c r="BE64" s="82" t="s">
        <v>182</v>
      </c>
      <c r="BF64" s="137" t="s">
        <v>387</v>
      </c>
      <c r="BG64" s="138" t="s">
        <v>21</v>
      </c>
      <c r="BH64" s="82" t="s">
        <v>81</v>
      </c>
      <c r="BI64" s="84" t="s">
        <v>381</v>
      </c>
      <c r="BJ64" s="89">
        <f t="shared" si="55"/>
        <v>5.416666666666667</v>
      </c>
      <c r="BK64" s="84">
        <v>65</v>
      </c>
      <c r="BL64" s="84">
        <v>5</v>
      </c>
      <c r="BM64" s="88">
        <v>0.41666666666666669</v>
      </c>
      <c r="BN64" s="82" t="s">
        <v>379</v>
      </c>
      <c r="BO64" s="82" t="s">
        <v>382</v>
      </c>
      <c r="BP64" s="139" t="s">
        <v>64</v>
      </c>
      <c r="BQ64" s="63"/>
      <c r="BR64" s="82" t="s">
        <v>384</v>
      </c>
      <c r="BS64" s="82" t="s">
        <v>2127</v>
      </c>
      <c r="BT64" s="82" t="s">
        <v>418</v>
      </c>
      <c r="BU64" s="86">
        <v>2</v>
      </c>
      <c r="BV64" s="86">
        <v>1.2</v>
      </c>
      <c r="BW64" s="90">
        <v>2.0784609690826525</v>
      </c>
      <c r="BX64" s="86">
        <v>3</v>
      </c>
      <c r="BY64" s="86">
        <v>3</v>
      </c>
      <c r="BZ64" s="82" t="s">
        <v>351</v>
      </c>
      <c r="CA64" s="82" t="s">
        <v>1344</v>
      </c>
      <c r="CB64" s="82" t="s">
        <v>80</v>
      </c>
      <c r="CC64" s="86">
        <v>11.8</v>
      </c>
      <c r="CD64" s="86">
        <v>1.6</v>
      </c>
      <c r="CE64" s="90">
        <v>3.2</v>
      </c>
      <c r="CF64" s="86">
        <v>4</v>
      </c>
      <c r="CG64" s="86">
        <v>4</v>
      </c>
      <c r="CH64" s="82" t="s">
        <v>351</v>
      </c>
      <c r="CI64" s="82" t="s">
        <v>1345</v>
      </c>
      <c r="CJ64" s="82"/>
      <c r="CK64" s="86"/>
      <c r="CL64" s="86"/>
      <c r="CM64" s="86"/>
      <c r="CN64" s="86"/>
      <c r="CO64" s="86"/>
      <c r="CP64" s="82"/>
      <c r="CQ64" s="82"/>
      <c r="CR64" s="82"/>
      <c r="CS64" s="86"/>
      <c r="CT64" s="86"/>
      <c r="CU64" s="86"/>
      <c r="CV64" s="86"/>
      <c r="CW64" s="86"/>
      <c r="CX64" s="82"/>
      <c r="CY64" s="82"/>
      <c r="CZ64" s="82"/>
      <c r="DA64" s="82"/>
      <c r="DB64" s="82"/>
      <c r="DC64" s="82"/>
      <c r="DD64" s="82"/>
      <c r="DE64" s="82"/>
      <c r="DF64" s="82"/>
      <c r="DG64" s="82"/>
      <c r="DH64" s="82"/>
      <c r="DI64" s="82"/>
      <c r="DJ64" s="82"/>
      <c r="DK64" s="82"/>
      <c r="DL64" s="82"/>
      <c r="DM64" s="82"/>
      <c r="DN64" s="82"/>
      <c r="DO64" s="82"/>
      <c r="DP64" s="82"/>
      <c r="DQ64" s="82"/>
      <c r="DR64" s="82"/>
      <c r="DS64" s="82"/>
      <c r="DT64" s="82"/>
      <c r="DU64" s="82"/>
      <c r="DV64" s="82"/>
      <c r="DW64" s="82"/>
      <c r="DX64" s="82"/>
      <c r="DY64" s="86"/>
      <c r="DZ64" s="86"/>
      <c r="EA64" s="86"/>
      <c r="EB64" s="86"/>
      <c r="EC64" s="86"/>
      <c r="ED64" s="82"/>
      <c r="EE64" s="82"/>
      <c r="EF64" s="82"/>
      <c r="EG64" s="86"/>
      <c r="EH64" s="86"/>
      <c r="EI64" s="86"/>
      <c r="EJ64" s="86"/>
      <c r="EK64" s="86"/>
      <c r="EL64" s="82"/>
      <c r="EM64" s="82"/>
      <c r="EN64" s="86">
        <f t="shared" si="56"/>
        <v>2</v>
      </c>
      <c r="EO64" s="90">
        <f t="shared" si="57"/>
        <v>2.0784609690826525</v>
      </c>
      <c r="EP64" s="86">
        <f t="shared" si="58"/>
        <v>3</v>
      </c>
      <c r="EQ64" s="86">
        <f t="shared" si="59"/>
        <v>3</v>
      </c>
      <c r="ER64" s="86">
        <f t="shared" si="60"/>
        <v>11.8</v>
      </c>
      <c r="ES64" s="90">
        <f t="shared" si="61"/>
        <v>3.2</v>
      </c>
      <c r="ET64" s="86">
        <f t="shared" si="62"/>
        <v>4</v>
      </c>
      <c r="EU64" s="86">
        <f t="shared" si="63"/>
        <v>4</v>
      </c>
      <c r="EV64" s="86">
        <f t="shared" si="39"/>
        <v>2.8057084666800294</v>
      </c>
      <c r="EW64" s="86">
        <f t="shared" si="40"/>
        <v>-3.4928789346372313</v>
      </c>
      <c r="EX64" s="86">
        <f t="shared" si="41"/>
        <v>1.4547764227642275</v>
      </c>
      <c r="EY64" s="86">
        <f t="shared" si="42"/>
        <v>0.84210526315789469</v>
      </c>
      <c r="EZ64" s="83">
        <f t="shared" si="43"/>
        <v>-2.9413717344313524</v>
      </c>
      <c r="FA64" s="83">
        <f t="shared" si="44"/>
        <v>1.0316420061707539</v>
      </c>
      <c r="FB64" s="83">
        <f t="shared" si="45"/>
        <v>7</v>
      </c>
      <c r="FC64" s="82" t="s">
        <v>1558</v>
      </c>
    </row>
    <row r="65" spans="1:159" s="84" customFormat="1" ht="17.100000000000001" customHeight="1">
      <c r="A65" s="78" t="s">
        <v>1795</v>
      </c>
      <c r="B65" s="79" t="s">
        <v>1929</v>
      </c>
      <c r="C65" s="80" t="str">
        <f t="shared" si="10"/>
        <v>Henning, S. J., &amp; Dickmann, D. I. 1996.  Vegetative responses to prescribed burning in a mature red pine stand. Northern Journal of Applied Forestry. 13: 140-146.</v>
      </c>
      <c r="D65" s="79" t="s">
        <v>1467</v>
      </c>
      <c r="E65" s="81">
        <v>1996</v>
      </c>
      <c r="F65" s="79" t="s">
        <v>369</v>
      </c>
      <c r="G65" s="79" t="s">
        <v>370</v>
      </c>
      <c r="H65" s="81">
        <v>13</v>
      </c>
      <c r="I65" s="81" t="s">
        <v>371</v>
      </c>
      <c r="J65" s="79"/>
      <c r="K65" s="79" t="s">
        <v>372</v>
      </c>
      <c r="L65" s="82" t="s">
        <v>101</v>
      </c>
      <c r="M65" s="83" t="s">
        <v>73</v>
      </c>
      <c r="N65" s="82" t="s">
        <v>389</v>
      </c>
      <c r="O65" s="82"/>
      <c r="P65" s="81" t="s">
        <v>16</v>
      </c>
      <c r="Q65" s="79" t="s">
        <v>373</v>
      </c>
      <c r="R65" s="79" t="s">
        <v>374</v>
      </c>
      <c r="S65" s="79"/>
      <c r="T65" s="79" t="s">
        <v>375</v>
      </c>
      <c r="U65" s="79" t="s">
        <v>376</v>
      </c>
      <c r="V65" s="81">
        <v>45.2</v>
      </c>
      <c r="W65" s="81">
        <v>-84.5</v>
      </c>
      <c r="X65" s="81"/>
      <c r="Y65" s="66" t="s">
        <v>1897</v>
      </c>
      <c r="Z65" s="66" t="s">
        <v>2203</v>
      </c>
      <c r="AA65" s="97" t="s">
        <v>49</v>
      </c>
      <c r="AB65" s="79" t="s">
        <v>103</v>
      </c>
      <c r="AC65" s="79" t="s">
        <v>134</v>
      </c>
      <c r="AD65" s="82" t="s">
        <v>368</v>
      </c>
      <c r="AE65" s="82"/>
      <c r="AF65" s="82" t="s">
        <v>87</v>
      </c>
      <c r="AG65" s="82" t="s">
        <v>92</v>
      </c>
      <c r="AH65" s="82" t="s">
        <v>106</v>
      </c>
      <c r="AI65" s="82" t="s">
        <v>276</v>
      </c>
      <c r="AJ65" s="86">
        <v>3</v>
      </c>
      <c r="AK65" s="86">
        <v>1</v>
      </c>
      <c r="AL65" s="86">
        <v>1</v>
      </c>
      <c r="AM65" s="84" t="s">
        <v>377</v>
      </c>
      <c r="AN65" s="84" t="s">
        <v>526</v>
      </c>
      <c r="AO65" s="84" t="s">
        <v>526</v>
      </c>
      <c r="AP65" s="68" t="s">
        <v>2227</v>
      </c>
      <c r="AQ65" s="82" t="s">
        <v>88</v>
      </c>
      <c r="AR65" s="115">
        <v>2</v>
      </c>
      <c r="AS65" s="86" t="s">
        <v>227</v>
      </c>
      <c r="AT65" s="86"/>
      <c r="AU65" s="90">
        <v>8</v>
      </c>
      <c r="AV65" s="88">
        <v>0.1846153846153846</v>
      </c>
      <c r="AW65" s="82" t="s">
        <v>1163</v>
      </c>
      <c r="AX65" s="82" t="s">
        <v>80</v>
      </c>
      <c r="AY65" s="86">
        <v>4</v>
      </c>
      <c r="AZ65" s="86">
        <v>2</v>
      </c>
      <c r="BA65" s="86" t="s">
        <v>227</v>
      </c>
      <c r="BB65" s="86"/>
      <c r="BC65" s="82" t="s">
        <v>378</v>
      </c>
      <c r="BD65" s="83" t="s">
        <v>124</v>
      </c>
      <c r="BE65" s="82" t="s">
        <v>182</v>
      </c>
      <c r="BF65" s="137" t="s">
        <v>2109</v>
      </c>
      <c r="BG65" s="138" t="s">
        <v>21</v>
      </c>
      <c r="BH65" s="82" t="s">
        <v>81</v>
      </c>
      <c r="BI65" s="84" t="s">
        <v>381</v>
      </c>
      <c r="BJ65" s="89">
        <f t="shared" si="55"/>
        <v>5.416666666666667</v>
      </c>
      <c r="BK65" s="84">
        <v>65</v>
      </c>
      <c r="BL65" s="84">
        <v>65</v>
      </c>
      <c r="BM65" s="88">
        <v>5.416666666666667</v>
      </c>
      <c r="BN65" s="82" t="s">
        <v>379</v>
      </c>
      <c r="BO65" s="82" t="s">
        <v>382</v>
      </c>
      <c r="BP65" s="139" t="s">
        <v>64</v>
      </c>
      <c r="BQ65" s="63"/>
      <c r="BR65" s="82" t="s">
        <v>384</v>
      </c>
      <c r="BS65" s="82" t="s">
        <v>2158</v>
      </c>
      <c r="BT65" s="82" t="s">
        <v>574</v>
      </c>
      <c r="BU65" s="66">
        <v>30.7</v>
      </c>
      <c r="BV65" s="66"/>
      <c r="BW65" s="112">
        <v>4.6636895265444069</v>
      </c>
      <c r="BX65" s="86">
        <v>3</v>
      </c>
      <c r="BY65" s="86">
        <v>3</v>
      </c>
      <c r="BZ65" s="82" t="s">
        <v>2111</v>
      </c>
      <c r="CA65" s="82" t="s">
        <v>1342</v>
      </c>
      <c r="CB65" s="82" t="s">
        <v>80</v>
      </c>
      <c r="CC65" s="66">
        <v>33.799999999999997</v>
      </c>
      <c r="CD65" s="140"/>
      <c r="CE65" s="112">
        <v>7.6967525619575428</v>
      </c>
      <c r="CF65" s="86">
        <v>4</v>
      </c>
      <c r="CG65" s="86">
        <v>4</v>
      </c>
      <c r="CH65" s="82" t="s">
        <v>2111</v>
      </c>
      <c r="CI65" s="82" t="s">
        <v>1345</v>
      </c>
      <c r="CJ65" s="82"/>
      <c r="CK65" s="86"/>
      <c r="CL65" s="86"/>
      <c r="CM65" s="86"/>
      <c r="CN65" s="86"/>
      <c r="CO65" s="86"/>
      <c r="CP65" s="82"/>
      <c r="CQ65" s="82"/>
      <c r="CR65" s="82"/>
      <c r="CS65" s="86"/>
      <c r="CT65" s="86"/>
      <c r="CU65" s="86"/>
      <c r="CV65" s="86"/>
      <c r="CW65" s="86"/>
      <c r="CX65" s="82"/>
      <c r="CY65" s="82"/>
      <c r="CZ65" s="82"/>
      <c r="DA65" s="82"/>
      <c r="DB65" s="82"/>
      <c r="DC65" s="82"/>
      <c r="DD65" s="82"/>
      <c r="DE65" s="82"/>
      <c r="DF65" s="82"/>
      <c r="DG65" s="82"/>
      <c r="DH65" s="82"/>
      <c r="DI65" s="82"/>
      <c r="DJ65" s="82"/>
      <c r="DK65" s="82"/>
      <c r="DL65" s="82"/>
      <c r="DM65" s="82"/>
      <c r="DN65" s="82"/>
      <c r="DO65" s="82"/>
      <c r="DP65" s="82"/>
      <c r="DQ65" s="82"/>
      <c r="DR65" s="82"/>
      <c r="DS65" s="82"/>
      <c r="DT65" s="82"/>
      <c r="DU65" s="82"/>
      <c r="DV65" s="82"/>
      <c r="DW65" s="82"/>
      <c r="DX65" s="82"/>
      <c r="DY65" s="86"/>
      <c r="DZ65" s="86"/>
      <c r="EA65" s="86"/>
      <c r="EB65" s="86"/>
      <c r="EC65" s="86"/>
      <c r="ED65" s="82"/>
      <c r="EE65" s="82"/>
      <c r="EF65" s="82"/>
      <c r="EG65" s="86"/>
      <c r="EH65" s="86"/>
      <c r="EI65" s="86"/>
      <c r="EJ65" s="86"/>
      <c r="EK65" s="86"/>
      <c r="EL65" s="82"/>
      <c r="EM65" s="82"/>
      <c r="EN65" s="86">
        <f t="shared" si="56"/>
        <v>30.7</v>
      </c>
      <c r="EO65" s="90">
        <f t="shared" si="57"/>
        <v>4.6636895265444069</v>
      </c>
      <c r="EP65" s="86">
        <f t="shared" si="58"/>
        <v>3</v>
      </c>
      <c r="EQ65" s="86">
        <f t="shared" si="59"/>
        <v>3</v>
      </c>
      <c r="ER65" s="86">
        <f t="shared" si="60"/>
        <v>33.799999999999997</v>
      </c>
      <c r="ES65" s="90">
        <f t="shared" si="61"/>
        <v>7.6967525619575428</v>
      </c>
      <c r="ET65" s="86">
        <f t="shared" si="62"/>
        <v>4</v>
      </c>
      <c r="EU65" s="86">
        <f t="shared" si="63"/>
        <v>4</v>
      </c>
      <c r="EV65" s="86">
        <f t="shared" si="39"/>
        <v>6.6516163449194812</v>
      </c>
      <c r="EW65" s="86">
        <f t="shared" si="40"/>
        <v>-0.46605213518783062</v>
      </c>
      <c r="EX65" s="86">
        <f t="shared" si="41"/>
        <v>0.59884794709855738</v>
      </c>
      <c r="EY65" s="86">
        <f t="shared" si="42"/>
        <v>0.84210526315789469</v>
      </c>
      <c r="EZ65" s="83">
        <f t="shared" si="43"/>
        <v>-0.3924649559476468</v>
      </c>
      <c r="FA65" s="83">
        <f t="shared" si="44"/>
        <v>0.42466779628041734</v>
      </c>
      <c r="FB65" s="83">
        <f t="shared" si="45"/>
        <v>7</v>
      </c>
      <c r="FC65" s="82" t="s">
        <v>1558</v>
      </c>
    </row>
    <row r="66" spans="1:159" s="84" customFormat="1" ht="17.100000000000001" customHeight="1">
      <c r="A66" s="78" t="s">
        <v>1795</v>
      </c>
      <c r="B66" s="79" t="s">
        <v>1930</v>
      </c>
      <c r="C66" s="80" t="str">
        <f t="shared" si="10"/>
        <v>Henning, S. J., &amp; Dickmann, D. I. 1996.  Vegetative responses to prescribed burning in a mature red pine stand. Northern Journal of Applied Forestry. 13: 140-146.</v>
      </c>
      <c r="D66" s="79" t="s">
        <v>1467</v>
      </c>
      <c r="E66" s="81">
        <v>1996</v>
      </c>
      <c r="F66" s="79" t="s">
        <v>369</v>
      </c>
      <c r="G66" s="79" t="s">
        <v>370</v>
      </c>
      <c r="H66" s="81">
        <v>13</v>
      </c>
      <c r="I66" s="81" t="s">
        <v>371</v>
      </c>
      <c r="J66" s="79"/>
      <c r="K66" s="79" t="s">
        <v>372</v>
      </c>
      <c r="L66" s="82" t="s">
        <v>101</v>
      </c>
      <c r="M66" s="83" t="s">
        <v>73</v>
      </c>
      <c r="N66" s="82" t="s">
        <v>389</v>
      </c>
      <c r="O66" s="82"/>
      <c r="P66" s="81" t="s">
        <v>16</v>
      </c>
      <c r="Q66" s="79" t="s">
        <v>373</v>
      </c>
      <c r="R66" s="79" t="s">
        <v>374</v>
      </c>
      <c r="S66" s="79"/>
      <c r="T66" s="79" t="s">
        <v>375</v>
      </c>
      <c r="U66" s="79" t="s">
        <v>376</v>
      </c>
      <c r="V66" s="81">
        <v>45.2</v>
      </c>
      <c r="W66" s="81">
        <v>-84.5</v>
      </c>
      <c r="X66" s="81"/>
      <c r="Y66" s="66" t="s">
        <v>1897</v>
      </c>
      <c r="Z66" s="66" t="s">
        <v>2203</v>
      </c>
      <c r="AA66" s="97" t="s">
        <v>49</v>
      </c>
      <c r="AB66" s="79" t="s">
        <v>103</v>
      </c>
      <c r="AC66" s="79" t="s">
        <v>134</v>
      </c>
      <c r="AD66" s="82" t="s">
        <v>368</v>
      </c>
      <c r="AE66" s="82"/>
      <c r="AF66" s="82" t="s">
        <v>87</v>
      </c>
      <c r="AG66" s="82" t="s">
        <v>92</v>
      </c>
      <c r="AH66" s="82" t="s">
        <v>106</v>
      </c>
      <c r="AI66" s="82" t="s">
        <v>276</v>
      </c>
      <c r="AJ66" s="86">
        <v>3</v>
      </c>
      <c r="AK66" s="86">
        <v>2</v>
      </c>
      <c r="AL66" s="86">
        <v>2</v>
      </c>
      <c r="AM66" s="84" t="s">
        <v>377</v>
      </c>
      <c r="AN66" s="84" t="s">
        <v>526</v>
      </c>
      <c r="AO66" s="84" t="s">
        <v>526</v>
      </c>
      <c r="AP66" s="68" t="s">
        <v>2227</v>
      </c>
      <c r="AQ66" s="82" t="s">
        <v>88</v>
      </c>
      <c r="AR66" s="115">
        <v>2</v>
      </c>
      <c r="AS66" s="86" t="s">
        <v>227</v>
      </c>
      <c r="AT66" s="86"/>
      <c r="AU66" s="90">
        <v>8</v>
      </c>
      <c r="AV66" s="88">
        <v>0.3692307692307692</v>
      </c>
      <c r="AW66" s="82" t="s">
        <v>1164</v>
      </c>
      <c r="AX66" s="82" t="s">
        <v>80</v>
      </c>
      <c r="AY66" s="86">
        <v>4</v>
      </c>
      <c r="AZ66" s="86">
        <v>2</v>
      </c>
      <c r="BA66" s="86" t="s">
        <v>227</v>
      </c>
      <c r="BB66" s="86"/>
      <c r="BC66" s="82" t="s">
        <v>378</v>
      </c>
      <c r="BD66" s="83" t="s">
        <v>124</v>
      </c>
      <c r="BE66" s="82" t="s">
        <v>182</v>
      </c>
      <c r="BF66" s="137" t="s">
        <v>2109</v>
      </c>
      <c r="BG66" s="138" t="s">
        <v>21</v>
      </c>
      <c r="BH66" s="82" t="s">
        <v>81</v>
      </c>
      <c r="BI66" s="84" t="s">
        <v>381</v>
      </c>
      <c r="BJ66" s="89">
        <f t="shared" si="55"/>
        <v>5.416666666666667</v>
      </c>
      <c r="BK66" s="84">
        <v>65</v>
      </c>
      <c r="BL66" s="84">
        <v>17</v>
      </c>
      <c r="BM66" s="88">
        <v>1.4166666666666667</v>
      </c>
      <c r="BN66" s="82" t="s">
        <v>379</v>
      </c>
      <c r="BO66" s="82" t="s">
        <v>361</v>
      </c>
      <c r="BP66" s="139" t="s">
        <v>64</v>
      </c>
      <c r="BQ66" s="63"/>
      <c r="BR66" s="82" t="s">
        <v>384</v>
      </c>
      <c r="BS66" s="82" t="s">
        <v>2158</v>
      </c>
      <c r="BT66" s="82" t="s">
        <v>573</v>
      </c>
      <c r="BU66" s="115">
        <v>24.3</v>
      </c>
      <c r="BV66" s="115"/>
      <c r="BW66" s="101">
        <v>7.1014083110323964</v>
      </c>
      <c r="BX66" s="86">
        <v>3</v>
      </c>
      <c r="BY66" s="86">
        <v>3</v>
      </c>
      <c r="BZ66" s="82" t="s">
        <v>2111</v>
      </c>
      <c r="CA66" s="82" t="s">
        <v>1343</v>
      </c>
      <c r="CB66" s="82" t="s">
        <v>80</v>
      </c>
      <c r="CC66" s="66">
        <v>33.799999999999997</v>
      </c>
      <c r="CD66" s="140"/>
      <c r="CE66" s="112">
        <v>7.6967525619575428</v>
      </c>
      <c r="CF66" s="86">
        <v>4</v>
      </c>
      <c r="CG66" s="86">
        <v>4</v>
      </c>
      <c r="CH66" s="82" t="s">
        <v>2111</v>
      </c>
      <c r="CI66" s="82" t="s">
        <v>1345</v>
      </c>
      <c r="CJ66" s="82"/>
      <c r="CK66" s="86"/>
      <c r="CL66" s="86"/>
      <c r="CM66" s="86"/>
      <c r="CN66" s="86"/>
      <c r="CO66" s="86"/>
      <c r="CP66" s="82"/>
      <c r="CQ66" s="82"/>
      <c r="CR66" s="82"/>
      <c r="CS66" s="86"/>
      <c r="CT66" s="86"/>
      <c r="CU66" s="86"/>
      <c r="CV66" s="86"/>
      <c r="CW66" s="86"/>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6"/>
      <c r="DZ66" s="86"/>
      <c r="EA66" s="86"/>
      <c r="EB66" s="86"/>
      <c r="EC66" s="86"/>
      <c r="ED66" s="82"/>
      <c r="EE66" s="82"/>
      <c r="EF66" s="82"/>
      <c r="EG66" s="86"/>
      <c r="EH66" s="86"/>
      <c r="EI66" s="86"/>
      <c r="EJ66" s="86"/>
      <c r="EK66" s="86"/>
      <c r="EL66" s="82"/>
      <c r="EM66" s="82"/>
      <c r="EN66" s="86">
        <f t="shared" si="56"/>
        <v>24.3</v>
      </c>
      <c r="EO66" s="90">
        <f t="shared" si="57"/>
        <v>7.1014083110323964</v>
      </c>
      <c r="EP66" s="86">
        <f t="shared" si="58"/>
        <v>3</v>
      </c>
      <c r="EQ66" s="86">
        <f t="shared" si="59"/>
        <v>3</v>
      </c>
      <c r="ER66" s="86">
        <f t="shared" si="60"/>
        <v>33.799999999999997</v>
      </c>
      <c r="ES66" s="90">
        <f t="shared" si="61"/>
        <v>7.6967525619575428</v>
      </c>
      <c r="ET66" s="86">
        <f t="shared" si="62"/>
        <v>4</v>
      </c>
      <c r="EU66" s="86">
        <f t="shared" si="63"/>
        <v>4</v>
      </c>
      <c r="EV66" s="86">
        <f t="shared" si="39"/>
        <v>7.4643151058888177</v>
      </c>
      <c r="EW66" s="86">
        <f t="shared" si="40"/>
        <v>-1.272722261216594</v>
      </c>
      <c r="EX66" s="86">
        <f t="shared" si="41"/>
        <v>0.69903490149021053</v>
      </c>
      <c r="EY66" s="86">
        <f t="shared" si="42"/>
        <v>0.84210526315789469</v>
      </c>
      <c r="EZ66" s="83">
        <f t="shared" si="43"/>
        <v>-1.0717661147087107</v>
      </c>
      <c r="FA66" s="83">
        <f t="shared" si="44"/>
        <v>0.49571450077976142</v>
      </c>
      <c r="FB66" s="83">
        <f t="shared" si="45"/>
        <v>7</v>
      </c>
      <c r="FC66" s="82" t="s">
        <v>1558</v>
      </c>
    </row>
    <row r="67" spans="1:159" s="84" customFormat="1" ht="17.100000000000001" customHeight="1">
      <c r="A67" s="78" t="s">
        <v>1795</v>
      </c>
      <c r="B67" s="79" t="s">
        <v>1931</v>
      </c>
      <c r="C67" s="80" t="str">
        <f t="shared" si="10"/>
        <v>Henning, S. J., &amp; Dickmann, D. I. 1996.  Vegetative responses to prescribed burning in a mature red pine stand. Northern Journal of Applied Forestry. 13: 140-146.</v>
      </c>
      <c r="D67" s="79" t="s">
        <v>1467</v>
      </c>
      <c r="E67" s="81">
        <v>1996</v>
      </c>
      <c r="F67" s="79" t="s">
        <v>369</v>
      </c>
      <c r="G67" s="79" t="s">
        <v>370</v>
      </c>
      <c r="H67" s="81">
        <v>13</v>
      </c>
      <c r="I67" s="81" t="s">
        <v>371</v>
      </c>
      <c r="J67" s="79"/>
      <c r="K67" s="79" t="s">
        <v>372</v>
      </c>
      <c r="L67" s="82" t="s">
        <v>101</v>
      </c>
      <c r="M67" s="83" t="s">
        <v>73</v>
      </c>
      <c r="N67" s="82" t="s">
        <v>389</v>
      </c>
      <c r="O67" s="82"/>
      <c r="P67" s="81" t="s">
        <v>16</v>
      </c>
      <c r="Q67" s="79" t="s">
        <v>373</v>
      </c>
      <c r="R67" s="79" t="s">
        <v>374</v>
      </c>
      <c r="S67" s="79"/>
      <c r="T67" s="79" t="s">
        <v>375</v>
      </c>
      <c r="U67" s="79" t="s">
        <v>376</v>
      </c>
      <c r="V67" s="81">
        <v>45.2</v>
      </c>
      <c r="W67" s="81">
        <v>-84.5</v>
      </c>
      <c r="X67" s="81"/>
      <c r="Y67" s="66" t="s">
        <v>1897</v>
      </c>
      <c r="Z67" s="66" t="s">
        <v>2203</v>
      </c>
      <c r="AA67" s="97" t="s">
        <v>49</v>
      </c>
      <c r="AB67" s="79" t="s">
        <v>103</v>
      </c>
      <c r="AC67" s="79" t="s">
        <v>134</v>
      </c>
      <c r="AD67" s="82" t="s">
        <v>368</v>
      </c>
      <c r="AE67" s="82"/>
      <c r="AF67" s="82" t="s">
        <v>87</v>
      </c>
      <c r="AG67" s="82" t="s">
        <v>92</v>
      </c>
      <c r="AH67" s="82" t="s">
        <v>106</v>
      </c>
      <c r="AI67" s="82" t="s">
        <v>276</v>
      </c>
      <c r="AJ67" s="86">
        <v>3</v>
      </c>
      <c r="AK67" s="86">
        <v>4</v>
      </c>
      <c r="AL67" s="86">
        <v>4</v>
      </c>
      <c r="AM67" s="84" t="s">
        <v>377</v>
      </c>
      <c r="AN67" s="84" t="s">
        <v>526</v>
      </c>
      <c r="AO67" s="84" t="s">
        <v>526</v>
      </c>
      <c r="AP67" s="68" t="s">
        <v>2227</v>
      </c>
      <c r="AQ67" s="82" t="s">
        <v>88</v>
      </c>
      <c r="AR67" s="115">
        <v>2</v>
      </c>
      <c r="AS67" s="86" t="s">
        <v>227</v>
      </c>
      <c r="AT67" s="86"/>
      <c r="AU67" s="90">
        <v>8</v>
      </c>
      <c r="AV67" s="88">
        <v>0.73846153846153839</v>
      </c>
      <c r="AW67" s="82" t="s">
        <v>1164</v>
      </c>
      <c r="AX67" s="82" t="s">
        <v>80</v>
      </c>
      <c r="AY67" s="86">
        <v>4</v>
      </c>
      <c r="AZ67" s="86">
        <v>2</v>
      </c>
      <c r="BA67" s="86" t="s">
        <v>227</v>
      </c>
      <c r="BB67" s="86"/>
      <c r="BC67" s="82" t="s">
        <v>378</v>
      </c>
      <c r="BD67" s="83" t="s">
        <v>124</v>
      </c>
      <c r="BE67" s="82" t="s">
        <v>182</v>
      </c>
      <c r="BF67" s="137" t="s">
        <v>2109</v>
      </c>
      <c r="BG67" s="138" t="s">
        <v>21</v>
      </c>
      <c r="BH67" s="82" t="s">
        <v>81</v>
      </c>
      <c r="BI67" s="84" t="s">
        <v>381</v>
      </c>
      <c r="BJ67" s="89">
        <f t="shared" si="55"/>
        <v>5.416666666666667</v>
      </c>
      <c r="BK67" s="84">
        <v>65</v>
      </c>
      <c r="BL67" s="84">
        <v>5</v>
      </c>
      <c r="BM67" s="88">
        <v>0.41666666666666669</v>
      </c>
      <c r="BN67" s="82" t="s">
        <v>379</v>
      </c>
      <c r="BO67" s="82" t="s">
        <v>382</v>
      </c>
      <c r="BP67" s="139" t="s">
        <v>64</v>
      </c>
      <c r="BQ67" s="63"/>
      <c r="BR67" s="138" t="s">
        <v>384</v>
      </c>
      <c r="BS67" s="138" t="s">
        <v>2158</v>
      </c>
      <c r="BT67" s="82" t="s">
        <v>418</v>
      </c>
      <c r="BU67" s="86">
        <v>23</v>
      </c>
      <c r="BV67" s="86"/>
      <c r="BW67" s="90">
        <v>4.8031239834091313</v>
      </c>
      <c r="BX67" s="86">
        <v>3</v>
      </c>
      <c r="BY67" s="86">
        <v>3</v>
      </c>
      <c r="BZ67" s="82" t="s">
        <v>2111</v>
      </c>
      <c r="CA67" s="82" t="s">
        <v>1344</v>
      </c>
      <c r="CB67" s="82" t="s">
        <v>80</v>
      </c>
      <c r="CC67" s="112">
        <v>33.799999999999997</v>
      </c>
      <c r="CD67" s="112"/>
      <c r="CE67" s="112">
        <v>7.6967525619575428</v>
      </c>
      <c r="CF67" s="86">
        <v>4</v>
      </c>
      <c r="CG67" s="86">
        <v>4</v>
      </c>
      <c r="CH67" s="82" t="s">
        <v>2111</v>
      </c>
      <c r="CI67" s="82" t="s">
        <v>1345</v>
      </c>
      <c r="CJ67" s="82"/>
      <c r="CK67" s="86"/>
      <c r="CL67" s="86"/>
      <c r="CM67" s="86"/>
      <c r="CN67" s="86"/>
      <c r="CO67" s="86"/>
      <c r="CP67" s="82"/>
      <c r="CQ67" s="82"/>
      <c r="CR67" s="82"/>
      <c r="CS67" s="86"/>
      <c r="CT67" s="86"/>
      <c r="CU67" s="86"/>
      <c r="CV67" s="86"/>
      <c r="CW67" s="86"/>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6"/>
      <c r="DZ67" s="86"/>
      <c r="EA67" s="86"/>
      <c r="EB67" s="86"/>
      <c r="EC67" s="86"/>
      <c r="ED67" s="82"/>
      <c r="EE67" s="82"/>
      <c r="EF67" s="82"/>
      <c r="EG67" s="86"/>
      <c r="EH67" s="86"/>
      <c r="EI67" s="86"/>
      <c r="EJ67" s="86"/>
      <c r="EK67" s="86"/>
      <c r="EL67" s="82"/>
      <c r="EM67" s="82"/>
      <c r="EN67" s="86">
        <f t="shared" si="56"/>
        <v>23</v>
      </c>
      <c r="EO67" s="90">
        <f t="shared" si="57"/>
        <v>4.8031239834091313</v>
      </c>
      <c r="EP67" s="86">
        <f t="shared" si="58"/>
        <v>3</v>
      </c>
      <c r="EQ67" s="86">
        <f t="shared" si="59"/>
        <v>3</v>
      </c>
      <c r="ER67" s="86">
        <f t="shared" si="60"/>
        <v>33.799999999999997</v>
      </c>
      <c r="ES67" s="90">
        <f t="shared" si="61"/>
        <v>7.6967525619575428</v>
      </c>
      <c r="ET67" s="86">
        <f t="shared" si="62"/>
        <v>4</v>
      </c>
      <c r="EU67" s="86">
        <f t="shared" si="63"/>
        <v>4</v>
      </c>
      <c r="EV67" s="86">
        <f t="shared" ref="EV67:EV101" si="64">SQRT((((EP67-1)*EO67^2)+((ET67-1)*ES67^2))/((EP67+ET67)-2))</f>
        <v>6.6911882352837742</v>
      </c>
      <c r="EW67" s="86">
        <f t="shared" ref="EW67:EW101" si="65">(EN67-ER67)/EV67</f>
        <v>-1.6140630961552926</v>
      </c>
      <c r="EX67" s="86">
        <f t="shared" ref="EX67:EX101" si="66">((EQ67+EU67)/(EQ67*EU67))+((EW67^2)/(2*(EP67+ET67)))</f>
        <v>0.76941902464550549</v>
      </c>
      <c r="EY67" s="86">
        <f t="shared" ref="EY67:EY101" si="67">1-(3/((4*(EP67+ET67-2))-1))</f>
        <v>0.84210526315789469</v>
      </c>
      <c r="EZ67" s="83">
        <f t="shared" ref="EZ67:EZ101" si="68">EY67*EW67</f>
        <v>-1.359211028341299</v>
      </c>
      <c r="FA67" s="83">
        <f t="shared" ref="FA67:FA101" si="69">(EY67^2)*EX67</f>
        <v>0.54562678756024763</v>
      </c>
      <c r="FB67" s="83">
        <f t="shared" ref="FB67:FB101" si="70">EQ67+EU67</f>
        <v>7</v>
      </c>
      <c r="FC67" s="82" t="s">
        <v>1558</v>
      </c>
    </row>
    <row r="68" spans="1:159" s="84" customFormat="1" ht="17.100000000000001" customHeight="1">
      <c r="A68" s="78" t="s">
        <v>1847</v>
      </c>
      <c r="B68" s="96" t="s">
        <v>295</v>
      </c>
      <c r="C68" s="80" t="str">
        <f t="shared" ref="C68:C131" si="71">(D68&amp;" "&amp;E68&amp;".  "&amp;F68&amp;". "&amp;G68&amp;". "&amp;H68&amp;": "&amp;I68&amp;".")</f>
        <v>Huffman, D. W., Stoddard, M. T., Springer, J. D., Crouse, J. E., &amp; Chancellor, W. W.  2013.  Understory plant community responses to hazardous fuels reduction treatments in pinyon-juniper woodlands of Arizona, USA. Forest Ecology and Management. 289: 478-488.</v>
      </c>
      <c r="D68" s="91" t="s">
        <v>1515</v>
      </c>
      <c r="E68" s="91">
        <v>2013</v>
      </c>
      <c r="F68" s="96" t="s">
        <v>1548</v>
      </c>
      <c r="G68" s="96" t="s">
        <v>20</v>
      </c>
      <c r="H68" s="91">
        <v>289</v>
      </c>
      <c r="I68" s="91" t="s">
        <v>1082</v>
      </c>
      <c r="J68" s="79" t="s">
        <v>1572</v>
      </c>
      <c r="K68" s="141" t="s">
        <v>1083</v>
      </c>
      <c r="L68" s="82" t="s">
        <v>18</v>
      </c>
      <c r="M68" s="83" t="s">
        <v>1084</v>
      </c>
      <c r="N68" s="82" t="s">
        <v>389</v>
      </c>
      <c r="O68" s="82"/>
      <c r="P68" s="91" t="s">
        <v>16</v>
      </c>
      <c r="Q68" s="96" t="s">
        <v>61</v>
      </c>
      <c r="R68" s="96" t="s">
        <v>268</v>
      </c>
      <c r="S68" s="96" t="s">
        <v>1085</v>
      </c>
      <c r="T68" s="96" t="s">
        <v>1086</v>
      </c>
      <c r="U68" s="96" t="s">
        <v>1427</v>
      </c>
      <c r="V68" s="91">
        <v>38.010000000000005</v>
      </c>
      <c r="W68" s="91">
        <v>-112.17</v>
      </c>
      <c r="X68" s="91">
        <v>2034</v>
      </c>
      <c r="Y68" s="104" t="s">
        <v>1992</v>
      </c>
      <c r="Z68" s="66" t="s">
        <v>2107</v>
      </c>
      <c r="AA68" s="97" t="s">
        <v>49</v>
      </c>
      <c r="AB68" s="79" t="s">
        <v>103</v>
      </c>
      <c r="AC68" s="82" t="s">
        <v>235</v>
      </c>
      <c r="AD68" s="82"/>
      <c r="AE68" s="82"/>
      <c r="AF68" s="82" t="s">
        <v>87</v>
      </c>
      <c r="AG68" s="82" t="s">
        <v>91</v>
      </c>
      <c r="AH68" s="82" t="s">
        <v>106</v>
      </c>
      <c r="AI68" s="82" t="s">
        <v>272</v>
      </c>
      <c r="AJ68" s="86">
        <v>6</v>
      </c>
      <c r="AK68" s="86">
        <v>1</v>
      </c>
      <c r="AL68" s="86">
        <v>1</v>
      </c>
      <c r="AM68" s="84" t="s">
        <v>960</v>
      </c>
      <c r="AN68" s="84" t="s">
        <v>1013</v>
      </c>
      <c r="AO68" s="84" t="s">
        <v>524</v>
      </c>
      <c r="AP68" s="68" t="s">
        <v>2228</v>
      </c>
      <c r="AQ68" s="82" t="s">
        <v>94</v>
      </c>
      <c r="AR68" s="115">
        <v>1</v>
      </c>
      <c r="AS68" s="86">
        <v>2</v>
      </c>
      <c r="AT68" s="86">
        <v>1</v>
      </c>
      <c r="AU68" s="87"/>
      <c r="AV68" s="88">
        <v>0.21428571428571427</v>
      </c>
      <c r="AW68" s="82" t="s">
        <v>1087</v>
      </c>
      <c r="AX68" s="82" t="s">
        <v>80</v>
      </c>
      <c r="AY68" s="86">
        <v>6</v>
      </c>
      <c r="AZ68" s="86">
        <v>1</v>
      </c>
      <c r="BA68" s="86">
        <v>2</v>
      </c>
      <c r="BB68" s="86">
        <v>1</v>
      </c>
      <c r="BC68" s="82" t="s">
        <v>1087</v>
      </c>
      <c r="BD68" s="83" t="s">
        <v>124</v>
      </c>
      <c r="BE68" s="82" t="s">
        <v>182</v>
      </c>
      <c r="BF68" s="137" t="s">
        <v>387</v>
      </c>
      <c r="BG68" s="138" t="s">
        <v>21</v>
      </c>
      <c r="BH68" s="82" t="s">
        <v>81</v>
      </c>
      <c r="BI68" s="84" t="s">
        <v>719</v>
      </c>
      <c r="BJ68" s="89">
        <f t="shared" si="55"/>
        <v>4.666666666666667</v>
      </c>
      <c r="BK68" s="84">
        <v>56</v>
      </c>
      <c r="BL68" s="84">
        <v>56</v>
      </c>
      <c r="BM68" s="88">
        <v>4.666666666666667</v>
      </c>
      <c r="BN68" s="82" t="s">
        <v>379</v>
      </c>
      <c r="BO68" s="82" t="s">
        <v>926</v>
      </c>
      <c r="BP68" s="142" t="s">
        <v>64</v>
      </c>
      <c r="BQ68" s="82"/>
      <c r="BR68" s="138" t="s">
        <v>1067</v>
      </c>
      <c r="BS68" s="138" t="s">
        <v>679</v>
      </c>
      <c r="BT68" s="82"/>
      <c r="BU68" s="86"/>
      <c r="BV68" s="86"/>
      <c r="BW68" s="90"/>
      <c r="BX68" s="86"/>
      <c r="BY68" s="86"/>
      <c r="BZ68" s="82"/>
      <c r="CA68" s="82"/>
      <c r="CB68" s="82"/>
      <c r="CC68" s="86"/>
      <c r="CD68" s="86"/>
      <c r="CE68" s="90"/>
      <c r="CF68" s="86"/>
      <c r="CG68" s="86"/>
      <c r="CH68" s="82"/>
      <c r="CI68" s="82"/>
      <c r="CJ68" s="82"/>
      <c r="CK68" s="86"/>
      <c r="CL68" s="86"/>
      <c r="CM68" s="86"/>
      <c r="CN68" s="86"/>
      <c r="CO68" s="86"/>
      <c r="CP68" s="82"/>
      <c r="CQ68" s="82"/>
      <c r="CR68" s="82" t="s">
        <v>572</v>
      </c>
      <c r="CS68" s="86">
        <v>2.6</v>
      </c>
      <c r="CT68" s="86">
        <v>0.4</v>
      </c>
      <c r="CU68" s="86">
        <v>0.9797958971132712</v>
      </c>
      <c r="CV68" s="86">
        <v>6</v>
      </c>
      <c r="CW68" s="86">
        <v>6</v>
      </c>
      <c r="CX68" s="82" t="s">
        <v>216</v>
      </c>
      <c r="CY68" s="82"/>
      <c r="CZ68" s="82" t="s">
        <v>80</v>
      </c>
      <c r="DA68" s="82">
        <v>2.2999999999999998</v>
      </c>
      <c r="DB68" s="82">
        <v>0.4</v>
      </c>
      <c r="DC68" s="82">
        <v>0.9797958971132712</v>
      </c>
      <c r="DD68" s="82">
        <v>6</v>
      </c>
      <c r="DE68" s="82">
        <v>6</v>
      </c>
      <c r="DF68" s="82" t="s">
        <v>216</v>
      </c>
      <c r="DG68" s="82"/>
      <c r="DH68" s="82" t="s">
        <v>572</v>
      </c>
      <c r="DI68" s="82">
        <v>3.2</v>
      </c>
      <c r="DJ68" s="82">
        <v>0.4</v>
      </c>
      <c r="DK68" s="82">
        <v>0.9797958971132712</v>
      </c>
      <c r="DL68" s="82">
        <v>6</v>
      </c>
      <c r="DM68" s="82">
        <v>6</v>
      </c>
      <c r="DN68" s="82" t="s">
        <v>216</v>
      </c>
      <c r="DO68" s="82"/>
      <c r="DP68" s="82" t="s">
        <v>80</v>
      </c>
      <c r="DQ68" s="82">
        <v>2.2999999999999998</v>
      </c>
      <c r="DR68" s="82">
        <v>0.5</v>
      </c>
      <c r="DS68" s="82">
        <v>1.2247448713915889</v>
      </c>
      <c r="DT68" s="82">
        <v>6</v>
      </c>
      <c r="DU68" s="82">
        <v>6</v>
      </c>
      <c r="DV68" s="82" t="s">
        <v>216</v>
      </c>
      <c r="DW68" s="82"/>
      <c r="DX68" s="82" t="s">
        <v>1747</v>
      </c>
      <c r="DY68" s="86">
        <f t="shared" ref="DY68:DY73" si="72">DI68-CS68</f>
        <v>0.60000000000000009</v>
      </c>
      <c r="DZ68" s="86"/>
      <c r="EA68" s="86">
        <f t="shared" ref="EA68:EA73" si="73">SQRT((CU68^2)+(DK68^2))</f>
        <v>1.3856406460551018</v>
      </c>
      <c r="EB68" s="86">
        <v>6</v>
      </c>
      <c r="EC68" s="86">
        <v>6</v>
      </c>
      <c r="ED68" s="82" t="s">
        <v>1743</v>
      </c>
      <c r="EE68" s="82" t="s">
        <v>1744</v>
      </c>
      <c r="EF68" s="82" t="s">
        <v>1746</v>
      </c>
      <c r="EG68" s="86">
        <f t="shared" ref="EG68:EG73" si="74">DQ68-DA68</f>
        <v>0</v>
      </c>
      <c r="EH68" s="86"/>
      <c r="EI68" s="86">
        <f t="shared" ref="EI68:EI73" si="75">SQRT((DS68^2)+(DC68^2))</f>
        <v>1.5684387141358123</v>
      </c>
      <c r="EJ68" s="86">
        <v>6</v>
      </c>
      <c r="EK68" s="86">
        <v>6</v>
      </c>
      <c r="EL68" s="82" t="s">
        <v>1743</v>
      </c>
      <c r="EM68" s="82" t="s">
        <v>1745</v>
      </c>
      <c r="EN68" s="86">
        <f t="shared" ref="EN68:EN73" si="76">DY68</f>
        <v>0.60000000000000009</v>
      </c>
      <c r="EO68" s="86">
        <f t="shared" ref="EO68:EQ72" si="77">EA68</f>
        <v>1.3856406460551018</v>
      </c>
      <c r="EP68" s="86">
        <f t="shared" si="77"/>
        <v>6</v>
      </c>
      <c r="EQ68" s="86">
        <f t="shared" si="77"/>
        <v>6</v>
      </c>
      <c r="ER68" s="86">
        <f t="shared" ref="ER68:ER73" si="78">EG68</f>
        <v>0</v>
      </c>
      <c r="ES68" s="86">
        <f t="shared" ref="ES68:EU72" si="79">EI68</f>
        <v>1.5684387141358123</v>
      </c>
      <c r="ET68" s="86">
        <f t="shared" si="79"/>
        <v>6</v>
      </c>
      <c r="EU68" s="86">
        <f t="shared" si="79"/>
        <v>6</v>
      </c>
      <c r="EV68" s="86">
        <f t="shared" si="64"/>
        <v>1.4798648586948744</v>
      </c>
      <c r="EW68" s="86">
        <f t="shared" si="65"/>
        <v>0.40544242703969158</v>
      </c>
      <c r="EX68" s="86">
        <f t="shared" si="66"/>
        <v>0.34018264840182649</v>
      </c>
      <c r="EY68" s="86">
        <f t="shared" si="67"/>
        <v>0.92307692307692313</v>
      </c>
      <c r="EZ68" s="83">
        <f t="shared" si="68"/>
        <v>0.37425454803663838</v>
      </c>
      <c r="FA68" s="83">
        <f t="shared" si="69"/>
        <v>0.2898597714193078</v>
      </c>
      <c r="FB68" s="83">
        <f t="shared" si="70"/>
        <v>12</v>
      </c>
      <c r="FC68" s="82" t="s">
        <v>385</v>
      </c>
    </row>
    <row r="69" spans="1:159" s="84" customFormat="1" ht="17.100000000000001" customHeight="1">
      <c r="A69" s="78" t="s">
        <v>1847</v>
      </c>
      <c r="B69" s="96" t="s">
        <v>295</v>
      </c>
      <c r="C69" s="80" t="str">
        <f t="shared" si="71"/>
        <v>Huffman, D. W., Stoddard, M. T., Springer, J. D., Crouse, J. E., &amp; Chancellor, W. W.  2013.  Understory plant community responses to hazardous fuels reduction treatments in pinyon-juniper woodlands of Arizona, USA. Forest Ecology and Management. 289: 478-488.</v>
      </c>
      <c r="D69" s="91" t="s">
        <v>1515</v>
      </c>
      <c r="E69" s="91">
        <v>2013</v>
      </c>
      <c r="F69" s="96" t="s">
        <v>1548</v>
      </c>
      <c r="G69" s="96" t="s">
        <v>20</v>
      </c>
      <c r="H69" s="91">
        <v>289</v>
      </c>
      <c r="I69" s="91" t="s">
        <v>1082</v>
      </c>
      <c r="J69" s="79" t="s">
        <v>1572</v>
      </c>
      <c r="K69" s="141" t="s">
        <v>1083</v>
      </c>
      <c r="L69" s="82" t="s">
        <v>18</v>
      </c>
      <c r="M69" s="83" t="s">
        <v>1084</v>
      </c>
      <c r="N69" s="82" t="s">
        <v>389</v>
      </c>
      <c r="O69" s="82"/>
      <c r="P69" s="91" t="s">
        <v>16</v>
      </c>
      <c r="Q69" s="96" t="s">
        <v>61</v>
      </c>
      <c r="R69" s="96" t="s">
        <v>268</v>
      </c>
      <c r="S69" s="96" t="s">
        <v>1085</v>
      </c>
      <c r="T69" s="96" t="s">
        <v>1086</v>
      </c>
      <c r="U69" s="96" t="s">
        <v>1427</v>
      </c>
      <c r="V69" s="91">
        <v>38.010000000000005</v>
      </c>
      <c r="W69" s="91">
        <v>-112.17</v>
      </c>
      <c r="X69" s="91">
        <v>2034</v>
      </c>
      <c r="Y69" s="104" t="s">
        <v>1992</v>
      </c>
      <c r="Z69" s="66" t="s">
        <v>2107</v>
      </c>
      <c r="AA69" s="97" t="s">
        <v>49</v>
      </c>
      <c r="AB69" s="79" t="s">
        <v>103</v>
      </c>
      <c r="AC69" s="82" t="s">
        <v>235</v>
      </c>
      <c r="AD69" s="82"/>
      <c r="AE69" s="82"/>
      <c r="AF69" s="82" t="s">
        <v>87</v>
      </c>
      <c r="AG69" s="82" t="s">
        <v>91</v>
      </c>
      <c r="AH69" s="82" t="s">
        <v>106</v>
      </c>
      <c r="AI69" s="82" t="s">
        <v>272</v>
      </c>
      <c r="AJ69" s="86">
        <v>6</v>
      </c>
      <c r="AK69" s="86">
        <v>1</v>
      </c>
      <c r="AL69" s="86">
        <v>1</v>
      </c>
      <c r="AM69" s="84" t="s">
        <v>960</v>
      </c>
      <c r="AN69" s="84" t="s">
        <v>1013</v>
      </c>
      <c r="AO69" s="84" t="s">
        <v>524</v>
      </c>
      <c r="AP69" s="68" t="s">
        <v>2228</v>
      </c>
      <c r="AQ69" s="82" t="s">
        <v>94</v>
      </c>
      <c r="AR69" s="115">
        <v>1</v>
      </c>
      <c r="AS69" s="143">
        <v>2</v>
      </c>
      <c r="AT69" s="86">
        <v>1</v>
      </c>
      <c r="AU69" s="87"/>
      <c r="AV69" s="88">
        <v>0.21428571428571427</v>
      </c>
      <c r="AW69" s="82" t="s">
        <v>1087</v>
      </c>
      <c r="AX69" s="138" t="s">
        <v>80</v>
      </c>
      <c r="AY69" s="86">
        <v>6</v>
      </c>
      <c r="AZ69" s="115">
        <v>1</v>
      </c>
      <c r="BA69" s="86">
        <v>2</v>
      </c>
      <c r="BB69" s="86">
        <v>1</v>
      </c>
      <c r="BC69" s="82" t="s">
        <v>1087</v>
      </c>
      <c r="BD69" s="83" t="s">
        <v>124</v>
      </c>
      <c r="BE69" s="82" t="s">
        <v>182</v>
      </c>
      <c r="BF69" s="137" t="s">
        <v>110</v>
      </c>
      <c r="BG69" s="138" t="s">
        <v>21</v>
      </c>
      <c r="BH69" s="82" t="s">
        <v>81</v>
      </c>
      <c r="BI69" s="84" t="s">
        <v>719</v>
      </c>
      <c r="BJ69" s="89">
        <f t="shared" si="55"/>
        <v>4.666666666666667</v>
      </c>
      <c r="BK69" s="84">
        <v>56</v>
      </c>
      <c r="BL69" s="84">
        <v>56</v>
      </c>
      <c r="BM69" s="88">
        <v>4.666666666666667</v>
      </c>
      <c r="BN69" s="82" t="s">
        <v>379</v>
      </c>
      <c r="BO69" s="82" t="s">
        <v>926</v>
      </c>
      <c r="BP69" s="142" t="s">
        <v>64</v>
      </c>
      <c r="BQ69" s="82"/>
      <c r="BR69" s="138" t="s">
        <v>1774</v>
      </c>
      <c r="BS69" s="138" t="s">
        <v>2155</v>
      </c>
      <c r="BT69" s="82"/>
      <c r="BU69" s="86"/>
      <c r="BV69" s="86"/>
      <c r="BW69" s="90"/>
      <c r="BX69" s="86"/>
      <c r="BY69" s="86"/>
      <c r="BZ69" s="82"/>
      <c r="CA69" s="82"/>
      <c r="CB69" s="82"/>
      <c r="CC69" s="86"/>
      <c r="CD69" s="86"/>
      <c r="CE69" s="90"/>
      <c r="CF69" s="86"/>
      <c r="CG69" s="86"/>
      <c r="CH69" s="82"/>
      <c r="CI69" s="82"/>
      <c r="CJ69" s="82"/>
      <c r="CK69" s="86"/>
      <c r="CL69" s="86"/>
      <c r="CM69" s="86"/>
      <c r="CN69" s="86"/>
      <c r="CO69" s="86"/>
      <c r="CP69" s="82"/>
      <c r="CQ69" s="82"/>
      <c r="CR69" s="82" t="s">
        <v>572</v>
      </c>
      <c r="CS69" s="112">
        <v>22.8</v>
      </c>
      <c r="CT69" s="112"/>
      <c r="CU69" s="112">
        <v>3.896151948</v>
      </c>
      <c r="CV69" s="86">
        <v>6</v>
      </c>
      <c r="CW69" s="86">
        <v>6</v>
      </c>
      <c r="CX69" s="82" t="s">
        <v>1773</v>
      </c>
      <c r="CY69" s="82"/>
      <c r="CZ69" s="82" t="s">
        <v>80</v>
      </c>
      <c r="DA69" s="82">
        <v>22.5</v>
      </c>
      <c r="DB69" s="82"/>
      <c r="DC69" s="82">
        <v>3.1749015732775083</v>
      </c>
      <c r="DD69" s="82">
        <v>6</v>
      </c>
      <c r="DE69" s="82">
        <v>6</v>
      </c>
      <c r="DF69" s="82" t="s">
        <v>1773</v>
      </c>
      <c r="DG69" s="82"/>
      <c r="DH69" s="82" t="s">
        <v>572</v>
      </c>
      <c r="DI69" s="82">
        <v>31.099999999999998</v>
      </c>
      <c r="DJ69" s="82"/>
      <c r="DK69" s="82">
        <v>4.4294469180700196</v>
      </c>
      <c r="DL69" s="82">
        <v>6</v>
      </c>
      <c r="DM69" s="82">
        <v>6</v>
      </c>
      <c r="DN69" s="82" t="s">
        <v>1773</v>
      </c>
      <c r="DO69" s="82"/>
      <c r="DP69" s="82" t="s">
        <v>80</v>
      </c>
      <c r="DQ69" s="82">
        <v>29.900000000000002</v>
      </c>
      <c r="DR69" s="82"/>
      <c r="DS69" s="82">
        <v>3.7629775444453557</v>
      </c>
      <c r="DT69" s="82">
        <v>6</v>
      </c>
      <c r="DU69" s="82">
        <v>6</v>
      </c>
      <c r="DV69" s="82" t="s">
        <v>1773</v>
      </c>
      <c r="DW69" s="82"/>
      <c r="DX69" s="82" t="s">
        <v>1747</v>
      </c>
      <c r="DY69" s="86">
        <f t="shared" si="72"/>
        <v>8.2999999999999972</v>
      </c>
      <c r="DZ69" s="86"/>
      <c r="EA69" s="86">
        <f t="shared" si="73"/>
        <v>5.899152481662445</v>
      </c>
      <c r="EB69" s="86">
        <v>6</v>
      </c>
      <c r="EC69" s="86">
        <v>6</v>
      </c>
      <c r="ED69" s="82" t="s">
        <v>1743</v>
      </c>
      <c r="EE69" s="82" t="s">
        <v>1744</v>
      </c>
      <c r="EF69" s="82" t="s">
        <v>1746</v>
      </c>
      <c r="EG69" s="86">
        <f t="shared" si="74"/>
        <v>7.4000000000000021</v>
      </c>
      <c r="EH69" s="86"/>
      <c r="EI69" s="86">
        <f t="shared" si="75"/>
        <v>4.9234134500364677</v>
      </c>
      <c r="EJ69" s="86">
        <v>6</v>
      </c>
      <c r="EK69" s="86">
        <v>6</v>
      </c>
      <c r="EL69" s="82" t="s">
        <v>1743</v>
      </c>
      <c r="EM69" s="82" t="s">
        <v>1745</v>
      </c>
      <c r="EN69" s="86">
        <f t="shared" si="76"/>
        <v>8.2999999999999972</v>
      </c>
      <c r="EO69" s="86">
        <f t="shared" si="77"/>
        <v>5.899152481662445</v>
      </c>
      <c r="EP69" s="86">
        <f t="shared" si="77"/>
        <v>6</v>
      </c>
      <c r="EQ69" s="86">
        <f t="shared" si="77"/>
        <v>6</v>
      </c>
      <c r="ER69" s="86">
        <f t="shared" si="78"/>
        <v>7.4000000000000021</v>
      </c>
      <c r="ES69" s="86">
        <f t="shared" si="79"/>
        <v>4.9234134500364677</v>
      </c>
      <c r="ET69" s="86">
        <f t="shared" si="79"/>
        <v>6</v>
      </c>
      <c r="EU69" s="86">
        <f t="shared" si="79"/>
        <v>6</v>
      </c>
      <c r="EV69" s="86">
        <f t="shared" si="64"/>
        <v>5.4332310829700674</v>
      </c>
      <c r="EW69" s="86">
        <f t="shared" si="65"/>
        <v>0.16564728910959764</v>
      </c>
      <c r="EX69" s="86">
        <f t="shared" si="66"/>
        <v>0.33447662601622324</v>
      </c>
      <c r="EY69" s="86">
        <f t="shared" si="67"/>
        <v>0.92307692307692313</v>
      </c>
      <c r="EZ69" s="83">
        <f t="shared" si="68"/>
        <v>0.15290518994732091</v>
      </c>
      <c r="FA69" s="83">
        <f t="shared" si="69"/>
        <v>0.28499783518542104</v>
      </c>
      <c r="FB69" s="83">
        <f t="shared" si="70"/>
        <v>12</v>
      </c>
      <c r="FC69" s="82" t="s">
        <v>385</v>
      </c>
    </row>
    <row r="70" spans="1:159" s="84" customFormat="1" ht="17.100000000000001" customHeight="1">
      <c r="A70" s="144" t="s">
        <v>1847</v>
      </c>
      <c r="B70" s="145" t="s">
        <v>295</v>
      </c>
      <c r="C70" s="80" t="str">
        <f t="shared" si="71"/>
        <v>Huffman, D. W., Stoddard, M. T., Springer, J. D., Crouse, J. E., &amp; Chancellor, W. W.  2013.  Understory plant community responses to hazardous fuels reduction treatments in pinyon-juniper woodlands of Arizona, USA. Forest Ecology and Management. 289: 478-488.</v>
      </c>
      <c r="D70" s="91" t="s">
        <v>1515</v>
      </c>
      <c r="E70" s="91">
        <v>2013</v>
      </c>
      <c r="F70" s="146" t="s">
        <v>1548</v>
      </c>
      <c r="G70" s="146" t="s">
        <v>20</v>
      </c>
      <c r="H70" s="147">
        <v>289</v>
      </c>
      <c r="I70" s="147" t="s">
        <v>1082</v>
      </c>
      <c r="J70" s="79" t="s">
        <v>1572</v>
      </c>
      <c r="K70" s="148" t="s">
        <v>1083</v>
      </c>
      <c r="L70" s="63" t="s">
        <v>18</v>
      </c>
      <c r="M70" s="83" t="s">
        <v>1084</v>
      </c>
      <c r="N70" s="82" t="s">
        <v>389</v>
      </c>
      <c r="O70" s="82"/>
      <c r="P70" s="147" t="s">
        <v>16</v>
      </c>
      <c r="Q70" s="146" t="s">
        <v>61</v>
      </c>
      <c r="R70" s="146" t="s">
        <v>268</v>
      </c>
      <c r="S70" s="146" t="s">
        <v>1085</v>
      </c>
      <c r="T70" s="146" t="s">
        <v>1086</v>
      </c>
      <c r="U70" s="146" t="s">
        <v>1427</v>
      </c>
      <c r="V70" s="147">
        <v>38.010000000000005</v>
      </c>
      <c r="W70" s="147">
        <v>-112.17</v>
      </c>
      <c r="X70" s="91">
        <v>2034</v>
      </c>
      <c r="Y70" s="104" t="s">
        <v>1992</v>
      </c>
      <c r="Z70" s="66" t="s">
        <v>2107</v>
      </c>
      <c r="AA70" s="97" t="s">
        <v>49</v>
      </c>
      <c r="AB70" s="79" t="s">
        <v>103</v>
      </c>
      <c r="AC70" s="82" t="s">
        <v>235</v>
      </c>
      <c r="AD70" s="82"/>
      <c r="AE70" s="82"/>
      <c r="AF70" s="82" t="s">
        <v>87</v>
      </c>
      <c r="AG70" s="82" t="s">
        <v>91</v>
      </c>
      <c r="AH70" s="82" t="s">
        <v>106</v>
      </c>
      <c r="AI70" s="82" t="s">
        <v>272</v>
      </c>
      <c r="AJ70" s="86">
        <v>6</v>
      </c>
      <c r="AK70" s="86">
        <v>1</v>
      </c>
      <c r="AL70" s="86">
        <v>1</v>
      </c>
      <c r="AM70" s="84" t="s">
        <v>960</v>
      </c>
      <c r="AN70" s="84" t="s">
        <v>1013</v>
      </c>
      <c r="AO70" s="84" t="s">
        <v>524</v>
      </c>
      <c r="AP70" s="68" t="s">
        <v>2228</v>
      </c>
      <c r="AQ70" s="82" t="s">
        <v>94</v>
      </c>
      <c r="AR70" s="115">
        <v>1</v>
      </c>
      <c r="AS70" s="115">
        <v>2</v>
      </c>
      <c r="AT70" s="86">
        <v>1</v>
      </c>
      <c r="AU70" s="87"/>
      <c r="AV70" s="88">
        <v>0.21428571428571427</v>
      </c>
      <c r="AW70" s="82" t="s">
        <v>1087</v>
      </c>
      <c r="AX70" s="138" t="s">
        <v>80</v>
      </c>
      <c r="AY70" s="86">
        <v>6</v>
      </c>
      <c r="AZ70" s="115">
        <v>1</v>
      </c>
      <c r="BA70" s="86">
        <v>2</v>
      </c>
      <c r="BB70" s="86">
        <v>1</v>
      </c>
      <c r="BC70" s="82" t="s">
        <v>1087</v>
      </c>
      <c r="BD70" s="83" t="s">
        <v>122</v>
      </c>
      <c r="BE70" s="82" t="s">
        <v>1603</v>
      </c>
      <c r="BF70" s="149" t="s">
        <v>110</v>
      </c>
      <c r="BG70" s="138" t="s">
        <v>21</v>
      </c>
      <c r="BH70" s="82" t="s">
        <v>81</v>
      </c>
      <c r="BI70" s="84" t="s">
        <v>719</v>
      </c>
      <c r="BJ70" s="89">
        <f t="shared" si="55"/>
        <v>4.666666666666667</v>
      </c>
      <c r="BK70" s="84">
        <v>56</v>
      </c>
      <c r="BL70" s="84">
        <v>56</v>
      </c>
      <c r="BM70" s="88">
        <v>4.666666666666667</v>
      </c>
      <c r="BN70" s="82" t="s">
        <v>379</v>
      </c>
      <c r="BO70" s="82" t="s">
        <v>926</v>
      </c>
      <c r="BP70" s="142" t="s">
        <v>64</v>
      </c>
      <c r="BQ70" s="82" t="s">
        <v>1171</v>
      </c>
      <c r="BR70" s="138" t="s">
        <v>2154</v>
      </c>
      <c r="BS70" s="138" t="s">
        <v>2154</v>
      </c>
      <c r="BT70" s="63"/>
      <c r="BU70" s="67"/>
      <c r="BV70" s="67"/>
      <c r="BW70" s="69"/>
      <c r="BX70" s="86"/>
      <c r="BY70" s="86"/>
      <c r="BZ70" s="82"/>
      <c r="CA70" s="82"/>
      <c r="CB70" s="63"/>
      <c r="CC70" s="67"/>
      <c r="CD70" s="67"/>
      <c r="CE70" s="69"/>
      <c r="CF70" s="86"/>
      <c r="CG70" s="86"/>
      <c r="CH70" s="82"/>
      <c r="CI70" s="82"/>
      <c r="CJ70" s="63"/>
      <c r="CK70" s="67"/>
      <c r="CL70" s="67"/>
      <c r="CM70" s="67"/>
      <c r="CN70" s="67"/>
      <c r="CO70" s="67"/>
      <c r="CP70" s="63"/>
      <c r="CQ70" s="63"/>
      <c r="CR70" s="82" t="s">
        <v>572</v>
      </c>
      <c r="CS70" s="67">
        <v>0.2</v>
      </c>
      <c r="CT70" s="67">
        <v>0.02</v>
      </c>
      <c r="CU70" s="67">
        <v>4.8989794855663557E-2</v>
      </c>
      <c r="CV70" s="86">
        <v>6</v>
      </c>
      <c r="CW70" s="86">
        <v>6</v>
      </c>
      <c r="CX70" s="82" t="s">
        <v>216</v>
      </c>
      <c r="CY70" s="63" t="s">
        <v>1597</v>
      </c>
      <c r="CZ70" s="82" t="s">
        <v>80</v>
      </c>
      <c r="DA70" s="63">
        <v>0.2</v>
      </c>
      <c r="DB70" s="63">
        <v>0.04</v>
      </c>
      <c r="DC70" s="63">
        <v>9.7979589711327114E-2</v>
      </c>
      <c r="DD70" s="82">
        <v>6</v>
      </c>
      <c r="DE70" s="82">
        <v>6</v>
      </c>
      <c r="DF70" s="82" t="s">
        <v>216</v>
      </c>
      <c r="DG70" s="82" t="s">
        <v>1598</v>
      </c>
      <c r="DH70" s="82" t="s">
        <v>572</v>
      </c>
      <c r="DI70" s="63">
        <v>0.1</v>
      </c>
      <c r="DJ70" s="63">
        <v>0.1</v>
      </c>
      <c r="DK70" s="63">
        <v>0.2449489742783178</v>
      </c>
      <c r="DL70" s="82">
        <v>6</v>
      </c>
      <c r="DM70" s="82">
        <v>6</v>
      </c>
      <c r="DN70" s="82" t="s">
        <v>216</v>
      </c>
      <c r="DO70" s="63" t="s">
        <v>1599</v>
      </c>
      <c r="DP70" s="82" t="s">
        <v>80</v>
      </c>
      <c r="DQ70" s="63">
        <v>0.2</v>
      </c>
      <c r="DR70" s="63">
        <v>0.1</v>
      </c>
      <c r="DS70" s="63">
        <v>0.2449489742783178</v>
      </c>
      <c r="DT70" s="82">
        <v>6</v>
      </c>
      <c r="DU70" s="82">
        <v>6</v>
      </c>
      <c r="DV70" s="82" t="s">
        <v>216</v>
      </c>
      <c r="DW70" s="63" t="s">
        <v>1600</v>
      </c>
      <c r="DX70" s="82" t="s">
        <v>1747</v>
      </c>
      <c r="DY70" s="86">
        <f t="shared" si="72"/>
        <v>-0.1</v>
      </c>
      <c r="DZ70" s="86"/>
      <c r="EA70" s="86">
        <f t="shared" si="73"/>
        <v>0.24979991993593592</v>
      </c>
      <c r="EB70" s="86">
        <v>6</v>
      </c>
      <c r="EC70" s="86">
        <v>6</v>
      </c>
      <c r="ED70" s="82" t="s">
        <v>1743</v>
      </c>
      <c r="EE70" s="82" t="s">
        <v>1744</v>
      </c>
      <c r="EF70" s="82" t="s">
        <v>1746</v>
      </c>
      <c r="EG70" s="86">
        <f t="shared" si="74"/>
        <v>0</v>
      </c>
      <c r="EH70" s="86"/>
      <c r="EI70" s="86">
        <f t="shared" si="75"/>
        <v>0.26381811916545839</v>
      </c>
      <c r="EJ70" s="86">
        <v>6</v>
      </c>
      <c r="EK70" s="86">
        <v>6</v>
      </c>
      <c r="EL70" s="82" t="s">
        <v>1743</v>
      </c>
      <c r="EM70" s="82" t="s">
        <v>1745</v>
      </c>
      <c r="EN70" s="86">
        <f t="shared" si="76"/>
        <v>-0.1</v>
      </c>
      <c r="EO70" s="86">
        <f t="shared" si="77"/>
        <v>0.24979991993593592</v>
      </c>
      <c r="EP70" s="86">
        <f t="shared" si="77"/>
        <v>6</v>
      </c>
      <c r="EQ70" s="86">
        <f t="shared" si="77"/>
        <v>6</v>
      </c>
      <c r="ER70" s="86">
        <f t="shared" si="78"/>
        <v>0</v>
      </c>
      <c r="ES70" s="86">
        <f t="shared" si="79"/>
        <v>0.26381811916545839</v>
      </c>
      <c r="ET70" s="86">
        <f t="shared" si="79"/>
        <v>6</v>
      </c>
      <c r="EU70" s="86">
        <f t="shared" si="79"/>
        <v>6</v>
      </c>
      <c r="EV70" s="86">
        <f t="shared" si="64"/>
        <v>0.25690465157330256</v>
      </c>
      <c r="EW70" s="86">
        <f t="shared" si="65"/>
        <v>-0.38924947208076155</v>
      </c>
      <c r="EX70" s="86">
        <f t="shared" si="66"/>
        <v>0.33964646464646464</v>
      </c>
      <c r="EY70" s="86">
        <f t="shared" si="67"/>
        <v>0.92307692307692313</v>
      </c>
      <c r="EZ70" s="83">
        <f t="shared" si="68"/>
        <v>-0.35930720499762608</v>
      </c>
      <c r="FA70" s="83">
        <f t="shared" si="69"/>
        <v>0.28940290478752023</v>
      </c>
      <c r="FB70" s="83">
        <f t="shared" si="70"/>
        <v>12</v>
      </c>
      <c r="FC70" s="82" t="s">
        <v>385</v>
      </c>
    </row>
    <row r="71" spans="1:159" s="84" customFormat="1" ht="17.100000000000001" customHeight="1">
      <c r="A71" s="144" t="s">
        <v>1847</v>
      </c>
      <c r="B71" s="145" t="s">
        <v>295</v>
      </c>
      <c r="C71" s="80" t="str">
        <f t="shared" si="71"/>
        <v>Huffman, D. W., Stoddard, M. T., Springer, J. D., Crouse, J. E., &amp; Chancellor, W. W.  2013.  Understory plant community responses to hazardous fuels reduction treatments in pinyon-juniper woodlands of Arizona, USA. Forest Ecology and Management. 289: 478-488.</v>
      </c>
      <c r="D71" s="91" t="s">
        <v>1515</v>
      </c>
      <c r="E71" s="91">
        <v>2013</v>
      </c>
      <c r="F71" s="146" t="s">
        <v>1548</v>
      </c>
      <c r="G71" s="146" t="s">
        <v>20</v>
      </c>
      <c r="H71" s="147">
        <v>289</v>
      </c>
      <c r="I71" s="147" t="s">
        <v>1082</v>
      </c>
      <c r="J71" s="79" t="s">
        <v>1572</v>
      </c>
      <c r="K71" s="148" t="s">
        <v>1083</v>
      </c>
      <c r="L71" s="63" t="s">
        <v>18</v>
      </c>
      <c r="M71" s="83" t="s">
        <v>1084</v>
      </c>
      <c r="N71" s="82" t="s">
        <v>389</v>
      </c>
      <c r="O71" s="82"/>
      <c r="P71" s="147" t="s">
        <v>16</v>
      </c>
      <c r="Q71" s="146" t="s">
        <v>61</v>
      </c>
      <c r="R71" s="146" t="s">
        <v>268</v>
      </c>
      <c r="S71" s="146" t="s">
        <v>1085</v>
      </c>
      <c r="T71" s="146" t="s">
        <v>1086</v>
      </c>
      <c r="U71" s="146" t="s">
        <v>1427</v>
      </c>
      <c r="V71" s="147">
        <v>38.010000000000005</v>
      </c>
      <c r="W71" s="147">
        <v>-112.17</v>
      </c>
      <c r="X71" s="91">
        <v>2034</v>
      </c>
      <c r="Y71" s="104" t="s">
        <v>1992</v>
      </c>
      <c r="Z71" s="66" t="s">
        <v>2107</v>
      </c>
      <c r="AA71" s="97" t="s">
        <v>49</v>
      </c>
      <c r="AB71" s="79" t="s">
        <v>103</v>
      </c>
      <c r="AC71" s="82" t="s">
        <v>235</v>
      </c>
      <c r="AD71" s="82"/>
      <c r="AE71" s="82"/>
      <c r="AF71" s="82" t="s">
        <v>87</v>
      </c>
      <c r="AG71" s="82" t="s">
        <v>91</v>
      </c>
      <c r="AH71" s="82" t="s">
        <v>106</v>
      </c>
      <c r="AI71" s="82" t="s">
        <v>272</v>
      </c>
      <c r="AJ71" s="86">
        <v>6</v>
      </c>
      <c r="AK71" s="86">
        <v>1</v>
      </c>
      <c r="AL71" s="86">
        <v>1</v>
      </c>
      <c r="AM71" s="84" t="s">
        <v>960</v>
      </c>
      <c r="AN71" s="84" t="s">
        <v>1013</v>
      </c>
      <c r="AO71" s="84" t="s">
        <v>524</v>
      </c>
      <c r="AP71" s="68" t="s">
        <v>2228</v>
      </c>
      <c r="AQ71" s="82" t="s">
        <v>94</v>
      </c>
      <c r="AR71" s="115">
        <v>1</v>
      </c>
      <c r="AS71" s="115">
        <v>2</v>
      </c>
      <c r="AT71" s="86">
        <v>1</v>
      </c>
      <c r="AU71" s="87"/>
      <c r="AV71" s="88">
        <v>0.21428571428571427</v>
      </c>
      <c r="AW71" s="82" t="s">
        <v>1087</v>
      </c>
      <c r="AX71" s="138" t="s">
        <v>80</v>
      </c>
      <c r="AY71" s="86">
        <v>6</v>
      </c>
      <c r="AZ71" s="115">
        <v>1</v>
      </c>
      <c r="BA71" s="86">
        <v>2</v>
      </c>
      <c r="BB71" s="86">
        <v>1</v>
      </c>
      <c r="BC71" s="82" t="s">
        <v>1087</v>
      </c>
      <c r="BD71" s="93" t="s">
        <v>124</v>
      </c>
      <c r="BE71" s="84" t="s">
        <v>182</v>
      </c>
      <c r="BF71" s="149" t="s">
        <v>121</v>
      </c>
      <c r="BG71" s="138" t="s">
        <v>21</v>
      </c>
      <c r="BH71" s="82" t="s">
        <v>81</v>
      </c>
      <c r="BI71" s="84" t="s">
        <v>719</v>
      </c>
      <c r="BJ71" s="89">
        <f t="shared" si="55"/>
        <v>4.666666666666667</v>
      </c>
      <c r="BK71" s="84">
        <v>56</v>
      </c>
      <c r="BL71" s="84">
        <v>56</v>
      </c>
      <c r="BM71" s="88">
        <v>4.666666666666667</v>
      </c>
      <c r="BN71" s="82" t="s">
        <v>379</v>
      </c>
      <c r="BO71" s="82" t="s">
        <v>926</v>
      </c>
      <c r="BP71" s="142" t="s">
        <v>64</v>
      </c>
      <c r="BQ71" s="82" t="s">
        <v>1171</v>
      </c>
      <c r="BR71" s="138" t="s">
        <v>2145</v>
      </c>
      <c r="BS71" s="138" t="s">
        <v>2145</v>
      </c>
      <c r="BT71" s="63"/>
      <c r="BU71" s="67"/>
      <c r="BV71" s="67"/>
      <c r="BW71" s="69"/>
      <c r="BX71" s="86"/>
      <c r="BY71" s="86"/>
      <c r="BZ71" s="82"/>
      <c r="CA71" s="82"/>
      <c r="CB71" s="63"/>
      <c r="CC71" s="67"/>
      <c r="CD71" s="67"/>
      <c r="CE71" s="69"/>
      <c r="CF71" s="86"/>
      <c r="CG71" s="86"/>
      <c r="CH71" s="82"/>
      <c r="CI71" s="82"/>
      <c r="CJ71" s="63"/>
      <c r="CK71" s="67"/>
      <c r="CL71" s="67"/>
      <c r="CM71" s="67"/>
      <c r="CN71" s="67"/>
      <c r="CO71" s="67"/>
      <c r="CP71" s="63"/>
      <c r="CQ71" s="63"/>
      <c r="CR71" s="82" t="s">
        <v>572</v>
      </c>
      <c r="CS71" s="67">
        <v>25.3</v>
      </c>
      <c r="CT71" s="67">
        <v>1.4</v>
      </c>
      <c r="CU71" s="82">
        <f>CT71*(SQRT(CW71))</f>
        <v>3.4292856398964489</v>
      </c>
      <c r="CV71" s="86">
        <v>6</v>
      </c>
      <c r="CW71" s="86">
        <v>6</v>
      </c>
      <c r="CX71" s="82" t="s">
        <v>216</v>
      </c>
      <c r="CY71" s="63"/>
      <c r="CZ71" s="82" t="s">
        <v>80</v>
      </c>
      <c r="DA71" s="63">
        <v>26.7</v>
      </c>
      <c r="DB71" s="63">
        <v>1.4</v>
      </c>
      <c r="DC71" s="82">
        <f>DB71*SQRT(DE71)</f>
        <v>3.4292856398964489</v>
      </c>
      <c r="DD71" s="82">
        <v>6</v>
      </c>
      <c r="DE71" s="82">
        <v>6</v>
      </c>
      <c r="DF71" s="82" t="s">
        <v>216</v>
      </c>
      <c r="DG71" s="82" t="s">
        <v>1598</v>
      </c>
      <c r="DH71" s="82" t="s">
        <v>572</v>
      </c>
      <c r="DI71" s="63">
        <v>29.8</v>
      </c>
      <c r="DJ71" s="63">
        <v>1.7</v>
      </c>
      <c r="DK71" s="63">
        <v>4.1641325627314023</v>
      </c>
      <c r="DL71" s="82">
        <v>6</v>
      </c>
      <c r="DM71" s="82">
        <v>6</v>
      </c>
      <c r="DN71" s="82" t="s">
        <v>216</v>
      </c>
      <c r="DO71" s="63" t="s">
        <v>1599</v>
      </c>
      <c r="DP71" s="82" t="s">
        <v>80</v>
      </c>
      <c r="DQ71" s="63">
        <v>29.9</v>
      </c>
      <c r="DR71" s="63">
        <v>1.8</v>
      </c>
      <c r="DS71" s="63">
        <v>4.4090815370097207</v>
      </c>
      <c r="DT71" s="82">
        <v>6</v>
      </c>
      <c r="DU71" s="82">
        <v>6</v>
      </c>
      <c r="DV71" s="82" t="s">
        <v>216</v>
      </c>
      <c r="DW71" s="63" t="s">
        <v>1600</v>
      </c>
      <c r="DX71" s="82" t="s">
        <v>1747</v>
      </c>
      <c r="DY71" s="86">
        <f t="shared" si="72"/>
        <v>4.5</v>
      </c>
      <c r="DZ71" s="86"/>
      <c r="EA71" s="86">
        <f t="shared" si="73"/>
        <v>5.3944415837044701</v>
      </c>
      <c r="EB71" s="86">
        <v>6</v>
      </c>
      <c r="EC71" s="86">
        <v>6</v>
      </c>
      <c r="ED71" s="82" t="s">
        <v>1743</v>
      </c>
      <c r="EE71" s="82" t="s">
        <v>1744</v>
      </c>
      <c r="EF71" s="82" t="s">
        <v>1746</v>
      </c>
      <c r="EG71" s="86">
        <f t="shared" si="74"/>
        <v>3.1999999999999993</v>
      </c>
      <c r="EH71" s="86"/>
      <c r="EI71" s="86">
        <f t="shared" si="75"/>
        <v>5.5856960175075763</v>
      </c>
      <c r="EJ71" s="86">
        <v>6</v>
      </c>
      <c r="EK71" s="86">
        <v>6</v>
      </c>
      <c r="EL71" s="82" t="s">
        <v>1743</v>
      </c>
      <c r="EM71" s="82" t="s">
        <v>1745</v>
      </c>
      <c r="EN71" s="86">
        <f t="shared" si="76"/>
        <v>4.5</v>
      </c>
      <c r="EO71" s="86">
        <f t="shared" si="77"/>
        <v>5.3944415837044701</v>
      </c>
      <c r="EP71" s="86">
        <f t="shared" si="77"/>
        <v>6</v>
      </c>
      <c r="EQ71" s="86">
        <f t="shared" si="77"/>
        <v>6</v>
      </c>
      <c r="ER71" s="86">
        <f t="shared" si="78"/>
        <v>3.1999999999999993</v>
      </c>
      <c r="ES71" s="86">
        <f t="shared" si="79"/>
        <v>5.5856960175075763</v>
      </c>
      <c r="ET71" s="86">
        <f t="shared" si="79"/>
        <v>6</v>
      </c>
      <c r="EU71" s="86">
        <f t="shared" si="79"/>
        <v>6</v>
      </c>
      <c r="EV71" s="86">
        <f t="shared" si="64"/>
        <v>5.4909015653169373</v>
      </c>
      <c r="EW71" s="86">
        <f t="shared" si="65"/>
        <v>0.23675529137353316</v>
      </c>
      <c r="EX71" s="86">
        <f t="shared" si="66"/>
        <v>0.33566887783305693</v>
      </c>
      <c r="EY71" s="86">
        <f t="shared" si="67"/>
        <v>0.92307692307692313</v>
      </c>
      <c r="EZ71" s="83">
        <f t="shared" si="68"/>
        <v>0.21854334588326138</v>
      </c>
      <c r="FA71" s="83">
        <f t="shared" si="69"/>
        <v>0.2860137183902971</v>
      </c>
      <c r="FB71" s="83">
        <f t="shared" si="70"/>
        <v>12</v>
      </c>
      <c r="FC71" s="82" t="s">
        <v>385</v>
      </c>
    </row>
    <row r="72" spans="1:159" s="84" customFormat="1" ht="17.100000000000001" customHeight="1">
      <c r="A72" s="144" t="s">
        <v>1847</v>
      </c>
      <c r="B72" s="150" t="s">
        <v>295</v>
      </c>
      <c r="C72" s="80" t="str">
        <f t="shared" si="71"/>
        <v>Huffman, D. W., Stoddard, M. T., Springer, J. D., Crouse, J. E., &amp; Chancellor, W. W.  2013.  Understory plant community responses to hazardous fuels reduction treatments in pinyon-juniper woodlands of Arizona, USA. Forest Ecology and Management. 289: 478-488.</v>
      </c>
      <c r="D72" s="91" t="s">
        <v>1515</v>
      </c>
      <c r="E72" s="91">
        <v>2013</v>
      </c>
      <c r="F72" s="150" t="s">
        <v>1548</v>
      </c>
      <c r="G72" s="150" t="s">
        <v>20</v>
      </c>
      <c r="H72" s="151">
        <v>289</v>
      </c>
      <c r="I72" s="151" t="s">
        <v>1082</v>
      </c>
      <c r="J72" s="79" t="s">
        <v>1572</v>
      </c>
      <c r="K72" s="152" t="s">
        <v>1083</v>
      </c>
      <c r="L72" s="63" t="s">
        <v>18</v>
      </c>
      <c r="M72" s="83" t="s">
        <v>1084</v>
      </c>
      <c r="N72" s="82" t="s">
        <v>389</v>
      </c>
      <c r="O72" s="82"/>
      <c r="P72" s="151" t="s">
        <v>16</v>
      </c>
      <c r="Q72" s="150" t="s">
        <v>61</v>
      </c>
      <c r="R72" s="150" t="s">
        <v>268</v>
      </c>
      <c r="S72" s="150" t="s">
        <v>1085</v>
      </c>
      <c r="T72" s="150" t="s">
        <v>1086</v>
      </c>
      <c r="U72" s="150" t="s">
        <v>1427</v>
      </c>
      <c r="V72" s="151">
        <v>38.010000000000005</v>
      </c>
      <c r="W72" s="151">
        <v>-112.17</v>
      </c>
      <c r="X72" s="151">
        <v>2034</v>
      </c>
      <c r="Y72" s="104" t="s">
        <v>1992</v>
      </c>
      <c r="Z72" s="66" t="s">
        <v>2107</v>
      </c>
      <c r="AA72" s="153" t="s">
        <v>49</v>
      </c>
      <c r="AB72" s="79" t="s">
        <v>103</v>
      </c>
      <c r="AC72" s="82" t="s">
        <v>235</v>
      </c>
      <c r="AD72" s="82"/>
      <c r="AE72" s="82"/>
      <c r="AF72" s="82" t="s">
        <v>87</v>
      </c>
      <c r="AG72" s="82" t="s">
        <v>91</v>
      </c>
      <c r="AH72" s="82" t="s">
        <v>106</v>
      </c>
      <c r="AI72" s="82" t="s">
        <v>272</v>
      </c>
      <c r="AJ72" s="86">
        <v>6</v>
      </c>
      <c r="AK72" s="86">
        <v>1</v>
      </c>
      <c r="AL72" s="86">
        <v>1</v>
      </c>
      <c r="AM72" s="84" t="s">
        <v>960</v>
      </c>
      <c r="AN72" s="84" t="s">
        <v>1013</v>
      </c>
      <c r="AO72" s="84" t="s">
        <v>524</v>
      </c>
      <c r="AP72" s="68" t="s">
        <v>2228</v>
      </c>
      <c r="AQ72" s="82" t="s">
        <v>94</v>
      </c>
      <c r="AR72" s="115">
        <v>1</v>
      </c>
      <c r="AS72" s="115">
        <v>2</v>
      </c>
      <c r="AT72" s="86">
        <v>1</v>
      </c>
      <c r="AU72" s="87"/>
      <c r="AV72" s="88">
        <v>0.21428571428571427</v>
      </c>
      <c r="AW72" s="82" t="s">
        <v>1087</v>
      </c>
      <c r="AX72" s="138" t="s">
        <v>80</v>
      </c>
      <c r="AY72" s="86">
        <v>6</v>
      </c>
      <c r="AZ72" s="115">
        <v>1</v>
      </c>
      <c r="BA72" s="86">
        <v>2</v>
      </c>
      <c r="BB72" s="86">
        <v>1</v>
      </c>
      <c r="BC72" s="82" t="s">
        <v>1087</v>
      </c>
      <c r="BD72" s="93" t="s">
        <v>124</v>
      </c>
      <c r="BE72" s="84" t="s">
        <v>182</v>
      </c>
      <c r="BF72" s="83" t="s">
        <v>2156</v>
      </c>
      <c r="BG72" s="138" t="s">
        <v>21</v>
      </c>
      <c r="BH72" s="82" t="s">
        <v>81</v>
      </c>
      <c r="BI72" s="84" t="s">
        <v>719</v>
      </c>
      <c r="BJ72" s="89">
        <f t="shared" si="55"/>
        <v>4.666666666666667</v>
      </c>
      <c r="BK72" s="84">
        <v>56</v>
      </c>
      <c r="BL72" s="84">
        <v>56</v>
      </c>
      <c r="BM72" s="88">
        <v>4.666666666666667</v>
      </c>
      <c r="BN72" s="82" t="s">
        <v>379</v>
      </c>
      <c r="BO72" s="82" t="s">
        <v>926</v>
      </c>
      <c r="BP72" s="142" t="s">
        <v>64</v>
      </c>
      <c r="BQ72" s="82" t="s">
        <v>1171</v>
      </c>
      <c r="BR72" s="138" t="s">
        <v>2148</v>
      </c>
      <c r="BS72" s="138" t="s">
        <v>2148</v>
      </c>
      <c r="BT72" s="63"/>
      <c r="BU72" s="67"/>
      <c r="BV72" s="67"/>
      <c r="BW72" s="69"/>
      <c r="BX72" s="86"/>
      <c r="BY72" s="86"/>
      <c r="BZ72" s="82"/>
      <c r="CA72" s="82"/>
      <c r="CB72" s="63"/>
      <c r="CC72" s="67"/>
      <c r="CD72" s="67"/>
      <c r="CE72" s="69"/>
      <c r="CF72" s="86"/>
      <c r="CG72" s="86"/>
      <c r="CH72" s="82"/>
      <c r="CI72" s="82"/>
      <c r="CJ72" s="63"/>
      <c r="CK72" s="67"/>
      <c r="CL72" s="67"/>
      <c r="CM72" s="67"/>
      <c r="CN72" s="67"/>
      <c r="CO72" s="67"/>
      <c r="CP72" s="63"/>
      <c r="CQ72" s="63"/>
      <c r="CR72" s="82" t="s">
        <v>572</v>
      </c>
      <c r="CS72" s="82">
        <v>0.5</v>
      </c>
      <c r="CT72" s="82">
        <v>0.2</v>
      </c>
      <c r="CU72" s="82">
        <f>CT72*SQRT(CW72)</f>
        <v>0.4898979485566356</v>
      </c>
      <c r="CV72" s="86">
        <v>6</v>
      </c>
      <c r="CW72" s="86">
        <v>6</v>
      </c>
      <c r="CX72" s="82" t="s">
        <v>216</v>
      </c>
      <c r="CY72" s="63"/>
      <c r="CZ72" s="82" t="s">
        <v>80</v>
      </c>
      <c r="DA72" s="82">
        <v>0.3</v>
      </c>
      <c r="DB72" s="82">
        <v>0.1</v>
      </c>
      <c r="DC72" s="82">
        <f>DB72*SQRT(DE72)</f>
        <v>0.2449489742783178</v>
      </c>
      <c r="DD72" s="82">
        <v>6</v>
      </c>
      <c r="DE72" s="82">
        <v>6</v>
      </c>
      <c r="DF72" s="82" t="s">
        <v>216</v>
      </c>
      <c r="DG72" s="82" t="s">
        <v>1598</v>
      </c>
      <c r="DH72" s="82" t="s">
        <v>572</v>
      </c>
      <c r="DI72" s="82">
        <v>2.7</v>
      </c>
      <c r="DJ72" s="82">
        <v>0.3</v>
      </c>
      <c r="DK72" s="82">
        <f>DJ72*SQRT(DM72)</f>
        <v>0.73484692283495334</v>
      </c>
      <c r="DL72" s="82">
        <v>6</v>
      </c>
      <c r="DM72" s="82">
        <v>6</v>
      </c>
      <c r="DN72" s="82" t="s">
        <v>216</v>
      </c>
      <c r="DO72" s="63" t="s">
        <v>1599</v>
      </c>
      <c r="DP72" s="82" t="s">
        <v>80</v>
      </c>
      <c r="DQ72" s="82">
        <v>2.8</v>
      </c>
      <c r="DR72" s="82">
        <v>0.3</v>
      </c>
      <c r="DS72" s="82">
        <f>DR72*SQRT(DU72)</f>
        <v>0.73484692283495334</v>
      </c>
      <c r="DT72" s="82">
        <v>6</v>
      </c>
      <c r="DU72" s="82">
        <v>6</v>
      </c>
      <c r="DV72" s="82" t="s">
        <v>216</v>
      </c>
      <c r="DW72" s="63" t="s">
        <v>1600</v>
      </c>
      <c r="DX72" s="82" t="s">
        <v>1747</v>
      </c>
      <c r="DY72" s="86">
        <f t="shared" si="72"/>
        <v>2.2000000000000002</v>
      </c>
      <c r="DZ72" s="86"/>
      <c r="EA72" s="86">
        <f t="shared" si="73"/>
        <v>0.88317608663278468</v>
      </c>
      <c r="EB72" s="86">
        <v>6</v>
      </c>
      <c r="EC72" s="86">
        <v>6</v>
      </c>
      <c r="ED72" s="82" t="s">
        <v>1743</v>
      </c>
      <c r="EE72" s="82" t="s">
        <v>1744</v>
      </c>
      <c r="EF72" s="82" t="s">
        <v>1746</v>
      </c>
      <c r="EG72" s="86">
        <f t="shared" si="74"/>
        <v>2.5</v>
      </c>
      <c r="EH72" s="86"/>
      <c r="EI72" s="86">
        <f t="shared" si="75"/>
        <v>0.77459666924148329</v>
      </c>
      <c r="EJ72" s="86">
        <v>6</v>
      </c>
      <c r="EK72" s="86">
        <v>6</v>
      </c>
      <c r="EL72" s="82" t="s">
        <v>1743</v>
      </c>
      <c r="EM72" s="82" t="s">
        <v>1745</v>
      </c>
      <c r="EN72" s="86">
        <f t="shared" si="76"/>
        <v>2.2000000000000002</v>
      </c>
      <c r="EO72" s="86">
        <f t="shared" si="77"/>
        <v>0.88317608663278468</v>
      </c>
      <c r="EP72" s="86">
        <f t="shared" si="77"/>
        <v>6</v>
      </c>
      <c r="EQ72" s="86">
        <f t="shared" si="77"/>
        <v>6</v>
      </c>
      <c r="ER72" s="86">
        <f t="shared" si="78"/>
        <v>2.5</v>
      </c>
      <c r="ES72" s="86">
        <f t="shared" si="79"/>
        <v>0.77459666924148329</v>
      </c>
      <c r="ET72" s="86">
        <f t="shared" si="79"/>
        <v>6</v>
      </c>
      <c r="EU72" s="86">
        <f t="shared" si="79"/>
        <v>6</v>
      </c>
      <c r="EV72" s="86">
        <f t="shared" si="64"/>
        <v>0.83066238629180744</v>
      </c>
      <c r="EW72" s="86">
        <f t="shared" si="65"/>
        <v>-0.36115755925730741</v>
      </c>
      <c r="EX72" s="86">
        <f t="shared" si="66"/>
        <v>0.33876811594202894</v>
      </c>
      <c r="EY72" s="86">
        <f t="shared" si="67"/>
        <v>0.92307692307692313</v>
      </c>
      <c r="EZ72" s="83">
        <f t="shared" si="68"/>
        <v>-0.33337620854520689</v>
      </c>
      <c r="FA72" s="83">
        <f t="shared" si="69"/>
        <v>0.28865448932338567</v>
      </c>
      <c r="FB72" s="83">
        <f t="shared" si="70"/>
        <v>12</v>
      </c>
      <c r="FC72" s="82" t="s">
        <v>385</v>
      </c>
    </row>
    <row r="73" spans="1:159" s="84" customFormat="1" ht="17.100000000000001" customHeight="1">
      <c r="A73" s="144" t="s">
        <v>1847</v>
      </c>
      <c r="B73" s="150" t="s">
        <v>295</v>
      </c>
      <c r="C73" s="80" t="str">
        <f t="shared" si="71"/>
        <v>Huffman, D. W., Stoddard, M. T., Springer, J. D., Crouse, J. E., &amp; Chancellor, W. W.  2013.  Understory plant community responses to hazardous fuels reduction treatments in pinyon-juniper woodlands of Arizona, USA. Forest Ecology and Management. 289: 478-488.</v>
      </c>
      <c r="D73" s="91" t="s">
        <v>1515</v>
      </c>
      <c r="E73" s="91">
        <v>2013</v>
      </c>
      <c r="F73" s="150" t="s">
        <v>1548</v>
      </c>
      <c r="G73" s="150" t="s">
        <v>20</v>
      </c>
      <c r="H73" s="151">
        <v>289</v>
      </c>
      <c r="I73" s="151" t="s">
        <v>1082</v>
      </c>
      <c r="J73" s="79" t="s">
        <v>1572</v>
      </c>
      <c r="K73" s="152" t="s">
        <v>1083</v>
      </c>
      <c r="L73" s="63" t="s">
        <v>18</v>
      </c>
      <c r="M73" s="83" t="s">
        <v>1084</v>
      </c>
      <c r="N73" s="82" t="s">
        <v>389</v>
      </c>
      <c r="O73" s="82"/>
      <c r="P73" s="151" t="s">
        <v>16</v>
      </c>
      <c r="Q73" s="150" t="s">
        <v>61</v>
      </c>
      <c r="R73" s="150" t="s">
        <v>268</v>
      </c>
      <c r="S73" s="150" t="s">
        <v>1085</v>
      </c>
      <c r="T73" s="150" t="s">
        <v>1086</v>
      </c>
      <c r="U73" s="150" t="s">
        <v>1427</v>
      </c>
      <c r="V73" s="151">
        <v>38.010000000000005</v>
      </c>
      <c r="W73" s="151">
        <v>-112.17</v>
      </c>
      <c r="X73" s="151">
        <v>2034</v>
      </c>
      <c r="Y73" s="104" t="s">
        <v>1992</v>
      </c>
      <c r="Z73" s="66" t="s">
        <v>2107</v>
      </c>
      <c r="AA73" s="153" t="s">
        <v>49</v>
      </c>
      <c r="AB73" s="79" t="s">
        <v>103</v>
      </c>
      <c r="AC73" s="82" t="s">
        <v>235</v>
      </c>
      <c r="AD73" s="82"/>
      <c r="AE73" s="82"/>
      <c r="AF73" s="82" t="s">
        <v>87</v>
      </c>
      <c r="AG73" s="82" t="s">
        <v>91</v>
      </c>
      <c r="AH73" s="82" t="s">
        <v>106</v>
      </c>
      <c r="AI73" s="82" t="s">
        <v>272</v>
      </c>
      <c r="AJ73" s="86">
        <v>6</v>
      </c>
      <c r="AK73" s="86">
        <v>1</v>
      </c>
      <c r="AL73" s="86">
        <v>1</v>
      </c>
      <c r="AM73" s="84" t="s">
        <v>960</v>
      </c>
      <c r="AN73" s="84" t="s">
        <v>1013</v>
      </c>
      <c r="AO73" s="84" t="s">
        <v>524</v>
      </c>
      <c r="AP73" s="68" t="s">
        <v>2228</v>
      </c>
      <c r="AQ73" s="82" t="s">
        <v>94</v>
      </c>
      <c r="AR73" s="115">
        <v>1</v>
      </c>
      <c r="AS73" s="115">
        <v>2</v>
      </c>
      <c r="AT73" s="86">
        <v>1</v>
      </c>
      <c r="AU73" s="87"/>
      <c r="AV73" s="88">
        <v>0.21428571428571427</v>
      </c>
      <c r="AW73" s="82" t="s">
        <v>1087</v>
      </c>
      <c r="AX73" s="138" t="s">
        <v>80</v>
      </c>
      <c r="AY73" s="86">
        <v>6</v>
      </c>
      <c r="AZ73" s="115">
        <v>1</v>
      </c>
      <c r="BA73" s="86">
        <v>2</v>
      </c>
      <c r="BB73" s="86">
        <v>1</v>
      </c>
      <c r="BC73" s="82" t="s">
        <v>1087</v>
      </c>
      <c r="BD73" s="93" t="s">
        <v>124</v>
      </c>
      <c r="BE73" s="84" t="s">
        <v>182</v>
      </c>
      <c r="BF73" s="83" t="s">
        <v>112</v>
      </c>
      <c r="BG73" s="138" t="s">
        <v>21</v>
      </c>
      <c r="BH73" s="82" t="s">
        <v>81</v>
      </c>
      <c r="BI73" s="84" t="s">
        <v>719</v>
      </c>
      <c r="BJ73" s="89">
        <f>BK73/12</f>
        <v>4.666666666666667</v>
      </c>
      <c r="BK73" s="84">
        <v>56</v>
      </c>
      <c r="BL73" s="84">
        <v>56</v>
      </c>
      <c r="BM73" s="88">
        <v>4.666666666666667</v>
      </c>
      <c r="BN73" s="82" t="s">
        <v>379</v>
      </c>
      <c r="BO73" s="82" t="s">
        <v>926</v>
      </c>
      <c r="BP73" s="142" t="s">
        <v>64</v>
      </c>
      <c r="BQ73" s="82" t="s">
        <v>1171</v>
      </c>
      <c r="BR73" s="138" t="s">
        <v>2175</v>
      </c>
      <c r="BS73" s="138" t="s">
        <v>2175</v>
      </c>
      <c r="BT73" s="63"/>
      <c r="BU73" s="67"/>
      <c r="BV73" s="67"/>
      <c r="BW73" s="69"/>
      <c r="BX73" s="86"/>
      <c r="BY73" s="86"/>
      <c r="BZ73" s="82"/>
      <c r="CA73" s="82"/>
      <c r="CB73" s="63"/>
      <c r="CC73" s="67"/>
      <c r="CD73" s="67"/>
      <c r="CE73" s="69"/>
      <c r="CF73" s="86"/>
      <c r="CG73" s="86"/>
      <c r="CH73" s="82"/>
      <c r="CI73" s="82"/>
      <c r="CJ73" s="63"/>
      <c r="CK73" s="67"/>
      <c r="CL73" s="67"/>
      <c r="CM73" s="67"/>
      <c r="CN73" s="67"/>
      <c r="CO73" s="67"/>
      <c r="CP73" s="63"/>
      <c r="CQ73" s="63"/>
      <c r="CR73" s="82" t="s">
        <v>572</v>
      </c>
      <c r="CS73" s="82">
        <v>3.3</v>
      </c>
      <c r="CT73" s="82">
        <v>0.2</v>
      </c>
      <c r="CU73" s="82">
        <f>CT73*SQRT(CW73)</f>
        <v>0.4898979485566356</v>
      </c>
      <c r="CV73" s="86">
        <v>6</v>
      </c>
      <c r="CW73" s="86">
        <v>6</v>
      </c>
      <c r="CX73" s="82" t="s">
        <v>216</v>
      </c>
      <c r="CY73" s="63"/>
      <c r="CZ73" s="82" t="s">
        <v>80</v>
      </c>
      <c r="DA73" s="82">
        <v>3.5</v>
      </c>
      <c r="DB73" s="82">
        <v>0.2</v>
      </c>
      <c r="DC73" s="82">
        <f>DB73*SQRT(DE73)</f>
        <v>0.4898979485566356</v>
      </c>
      <c r="DD73" s="82">
        <v>6</v>
      </c>
      <c r="DE73" s="82">
        <v>6</v>
      </c>
      <c r="DF73" s="82" t="s">
        <v>216</v>
      </c>
      <c r="DG73" s="82" t="s">
        <v>1598</v>
      </c>
      <c r="DH73" s="82" t="s">
        <v>572</v>
      </c>
      <c r="DI73" s="82">
        <v>3.3</v>
      </c>
      <c r="DJ73" s="82">
        <v>0.2</v>
      </c>
      <c r="DK73" s="82">
        <f>DJ73*SQRT(DM73)</f>
        <v>0.4898979485566356</v>
      </c>
      <c r="DL73" s="82">
        <v>6</v>
      </c>
      <c r="DM73" s="82">
        <v>6</v>
      </c>
      <c r="DN73" s="82" t="s">
        <v>216</v>
      </c>
      <c r="DO73" s="63" t="s">
        <v>1599</v>
      </c>
      <c r="DP73" s="82" t="s">
        <v>80</v>
      </c>
      <c r="DQ73" s="82">
        <v>3.3</v>
      </c>
      <c r="DR73" s="82">
        <v>0.3</v>
      </c>
      <c r="DS73" s="82">
        <f>DR73*SQRT(DU73)</f>
        <v>0.73484692283495334</v>
      </c>
      <c r="DT73" s="82">
        <v>6</v>
      </c>
      <c r="DU73" s="82">
        <v>6</v>
      </c>
      <c r="DV73" s="82" t="s">
        <v>216</v>
      </c>
      <c r="DW73" s="63" t="s">
        <v>1600</v>
      </c>
      <c r="DX73" s="82" t="s">
        <v>1747</v>
      </c>
      <c r="DY73" s="86">
        <f t="shared" si="72"/>
        <v>0</v>
      </c>
      <c r="DZ73" s="86"/>
      <c r="EA73" s="86">
        <f t="shared" si="73"/>
        <v>0.69282032302755092</v>
      </c>
      <c r="EB73" s="86">
        <v>6</v>
      </c>
      <c r="EC73" s="86">
        <v>6</v>
      </c>
      <c r="ED73" s="82" t="s">
        <v>1743</v>
      </c>
      <c r="EE73" s="82" t="s">
        <v>1744</v>
      </c>
      <c r="EF73" s="82" t="s">
        <v>1746</v>
      </c>
      <c r="EG73" s="86">
        <f t="shared" si="74"/>
        <v>-0.20000000000000018</v>
      </c>
      <c r="EH73" s="86"/>
      <c r="EI73" s="86">
        <f t="shared" si="75"/>
        <v>0.88317608663278468</v>
      </c>
      <c r="EJ73" s="86">
        <v>6</v>
      </c>
      <c r="EK73" s="86">
        <v>6</v>
      </c>
      <c r="EL73" s="82" t="s">
        <v>1743</v>
      </c>
      <c r="EM73" s="82" t="s">
        <v>1745</v>
      </c>
      <c r="EN73" s="86">
        <f t="shared" si="76"/>
        <v>0</v>
      </c>
      <c r="EO73" s="86">
        <f>EA73</f>
        <v>0.69282032302755092</v>
      </c>
      <c r="EP73" s="86">
        <f>EB73</f>
        <v>6</v>
      </c>
      <c r="EQ73" s="86">
        <f>EC73</f>
        <v>6</v>
      </c>
      <c r="ER73" s="86">
        <f t="shared" si="78"/>
        <v>-0.20000000000000018</v>
      </c>
      <c r="ES73" s="86">
        <f>EI73</f>
        <v>0.88317608663278468</v>
      </c>
      <c r="ET73" s="86">
        <f>EJ73</f>
        <v>6</v>
      </c>
      <c r="EU73" s="86">
        <f>EK73</f>
        <v>6</v>
      </c>
      <c r="EV73" s="86">
        <f>SQRT((((EP73-1)*EO73^2)+((ET73-1)*ES73^2))/((EP73+ET73)-2))</f>
        <v>0.7937253933193773</v>
      </c>
      <c r="EW73" s="86">
        <f>(EN73-ER73)/EV73</f>
        <v>0.251976315339485</v>
      </c>
      <c r="EX73" s="86">
        <f>((EQ73+EU73)/(EQ73*EU73))+((EW73^2)/(2*(EP73+ET73)))</f>
        <v>0.33597883597883599</v>
      </c>
      <c r="EY73" s="86">
        <f>1-(3/((4*(EP73+ET73-2))-1))</f>
        <v>0.92307692307692313</v>
      </c>
      <c r="EZ73" s="83">
        <f>EY73*EW73</f>
        <v>0.23259352185183232</v>
      </c>
      <c r="FA73" s="83">
        <f>(EY73^2)*EX73</f>
        <v>0.28627782473936325</v>
      </c>
      <c r="FB73" s="83">
        <f>EQ73+EU73</f>
        <v>12</v>
      </c>
      <c r="FC73" s="82" t="s">
        <v>385</v>
      </c>
    </row>
    <row r="74" spans="1:159" s="84" customFormat="1" ht="17.100000000000001" customHeight="1">
      <c r="A74" s="144" t="s">
        <v>1790</v>
      </c>
      <c r="B74" s="154" t="s">
        <v>1383</v>
      </c>
      <c r="C74" s="80" t="str">
        <f t="shared" si="71"/>
        <v>Huntzinger, M.  2003.  Effects of fire management practices on butterfly diversity in the forested western United States. Biological Conservation. 113: 1-12.</v>
      </c>
      <c r="D74" s="82" t="s">
        <v>1463</v>
      </c>
      <c r="E74" s="81">
        <v>2003</v>
      </c>
      <c r="F74" s="155" t="s">
        <v>315</v>
      </c>
      <c r="G74" s="155" t="s">
        <v>127</v>
      </c>
      <c r="H74" s="156">
        <v>113</v>
      </c>
      <c r="I74" s="156" t="s">
        <v>316</v>
      </c>
      <c r="J74" s="79"/>
      <c r="K74" s="155" t="s">
        <v>317</v>
      </c>
      <c r="L74" s="82" t="s">
        <v>101</v>
      </c>
      <c r="M74" s="83" t="s">
        <v>73</v>
      </c>
      <c r="N74" s="82" t="s">
        <v>389</v>
      </c>
      <c r="O74" s="82"/>
      <c r="P74" s="156" t="s">
        <v>16</v>
      </c>
      <c r="Q74" s="155" t="s">
        <v>318</v>
      </c>
      <c r="R74" s="155" t="s">
        <v>1385</v>
      </c>
      <c r="S74" s="155"/>
      <c r="T74" s="155" t="s">
        <v>1392</v>
      </c>
      <c r="U74" s="155" t="s">
        <v>1391</v>
      </c>
      <c r="V74" s="156">
        <v>42.17</v>
      </c>
      <c r="W74" s="156">
        <v>-122.69</v>
      </c>
      <c r="X74" s="156" t="s">
        <v>321</v>
      </c>
      <c r="Y74" s="66" t="s">
        <v>1894</v>
      </c>
      <c r="Z74" s="66" t="s">
        <v>2201</v>
      </c>
      <c r="AA74" s="153" t="s">
        <v>49</v>
      </c>
      <c r="AB74" s="82" t="s">
        <v>64</v>
      </c>
      <c r="AC74" s="79" t="s">
        <v>64</v>
      </c>
      <c r="AD74" s="79" t="s">
        <v>64</v>
      </c>
      <c r="AE74" s="79" t="s">
        <v>322</v>
      </c>
      <c r="AF74" s="82" t="s">
        <v>156</v>
      </c>
      <c r="AG74" s="82" t="s">
        <v>92</v>
      </c>
      <c r="AH74" s="82" t="s">
        <v>106</v>
      </c>
      <c r="AI74" s="82" t="s">
        <v>272</v>
      </c>
      <c r="AJ74" s="86">
        <v>5</v>
      </c>
      <c r="AK74" s="86">
        <v>1</v>
      </c>
      <c r="AL74" s="86">
        <v>1</v>
      </c>
      <c r="AM74" s="84" t="s">
        <v>64</v>
      </c>
      <c r="AN74" s="84" t="s">
        <v>64</v>
      </c>
      <c r="AO74" s="84" t="s">
        <v>64</v>
      </c>
      <c r="AP74" s="68" t="s">
        <v>64</v>
      </c>
      <c r="AQ74" s="82" t="s">
        <v>88</v>
      </c>
      <c r="AR74" s="115">
        <v>1</v>
      </c>
      <c r="AS74" s="115">
        <v>1</v>
      </c>
      <c r="AT74" s="86"/>
      <c r="AU74" s="90"/>
      <c r="AV74" s="88">
        <v>0.24390243902439021</v>
      </c>
      <c r="AW74" s="82" t="s">
        <v>329</v>
      </c>
      <c r="AX74" s="138" t="s">
        <v>80</v>
      </c>
      <c r="AY74" s="86">
        <v>5</v>
      </c>
      <c r="AZ74" s="115">
        <v>1</v>
      </c>
      <c r="BA74" s="86">
        <v>1</v>
      </c>
      <c r="BB74" s="86"/>
      <c r="BC74" s="82" t="s">
        <v>327</v>
      </c>
      <c r="BD74" s="83" t="s">
        <v>124</v>
      </c>
      <c r="BE74" s="82" t="s">
        <v>182</v>
      </c>
      <c r="BF74" s="137" t="s">
        <v>118</v>
      </c>
      <c r="BG74" s="138" t="s">
        <v>21</v>
      </c>
      <c r="BH74" s="82" t="s">
        <v>81</v>
      </c>
      <c r="BI74" s="84" t="s">
        <v>324</v>
      </c>
      <c r="BJ74" s="89">
        <f>49.2/12</f>
        <v>4.1000000000000005</v>
      </c>
      <c r="BK74" s="64" t="s">
        <v>326</v>
      </c>
      <c r="BL74" s="64" t="s">
        <v>326</v>
      </c>
      <c r="BM74" s="88">
        <v>3.75</v>
      </c>
      <c r="BN74" s="82" t="s">
        <v>379</v>
      </c>
      <c r="BO74" s="82" t="s">
        <v>323</v>
      </c>
      <c r="BP74" s="142" t="s">
        <v>64</v>
      </c>
      <c r="BQ74" s="82"/>
      <c r="BR74" s="138" t="s">
        <v>1236</v>
      </c>
      <c r="BS74" s="157" t="s">
        <v>2213</v>
      </c>
      <c r="BT74" s="82" t="s">
        <v>572</v>
      </c>
      <c r="BU74" s="86">
        <v>11.29</v>
      </c>
      <c r="BV74" s="86">
        <f>12.67-11.29</f>
        <v>1.3800000000000008</v>
      </c>
      <c r="BW74" s="90">
        <v>3.0857738089497118</v>
      </c>
      <c r="BX74" s="86">
        <v>5</v>
      </c>
      <c r="BY74" s="86">
        <v>5</v>
      </c>
      <c r="BZ74" s="82" t="s">
        <v>51</v>
      </c>
      <c r="CA74" s="63" t="s">
        <v>1331</v>
      </c>
      <c r="CB74" s="82" t="s">
        <v>80</v>
      </c>
      <c r="CC74" s="86">
        <v>4.05</v>
      </c>
      <c r="CD74" s="86">
        <v>0.51</v>
      </c>
      <c r="CE74" s="90">
        <v>1.1403946685248929</v>
      </c>
      <c r="CF74" s="86">
        <v>5</v>
      </c>
      <c r="CG74" s="86">
        <v>5</v>
      </c>
      <c r="CH74" s="82" t="s">
        <v>51</v>
      </c>
      <c r="CI74" s="63" t="s">
        <v>1331</v>
      </c>
      <c r="CJ74" s="82"/>
      <c r="CK74" s="86"/>
      <c r="CL74" s="86"/>
      <c r="CM74" s="86"/>
      <c r="CN74" s="86"/>
      <c r="CO74" s="86"/>
      <c r="CP74" s="82"/>
      <c r="CQ74" s="82"/>
      <c r="CR74" s="82"/>
      <c r="CS74" s="86"/>
      <c r="CT74" s="86"/>
      <c r="CU74" s="86"/>
      <c r="CV74" s="86"/>
      <c r="CW74" s="86"/>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6"/>
      <c r="DZ74" s="86"/>
      <c r="EA74" s="86"/>
      <c r="EB74" s="86"/>
      <c r="EC74" s="86"/>
      <c r="ED74" s="82"/>
      <c r="EE74" s="82"/>
      <c r="EF74" s="82"/>
      <c r="EG74" s="86"/>
      <c r="EH74" s="86"/>
      <c r="EI74" s="86"/>
      <c r="EJ74" s="86"/>
      <c r="EK74" s="86"/>
      <c r="EL74" s="82"/>
      <c r="EM74" s="82"/>
      <c r="EN74" s="86">
        <f>BU74</f>
        <v>11.29</v>
      </c>
      <c r="EO74" s="90">
        <f t="shared" ref="EO74:EQ77" si="80">BW74</f>
        <v>3.0857738089497118</v>
      </c>
      <c r="EP74" s="86">
        <f t="shared" si="80"/>
        <v>5</v>
      </c>
      <c r="EQ74" s="86">
        <f t="shared" si="80"/>
        <v>5</v>
      </c>
      <c r="ER74" s="86">
        <f>CC74</f>
        <v>4.05</v>
      </c>
      <c r="ES74" s="90">
        <f t="shared" ref="ES74:EU77" si="81">CE74</f>
        <v>1.1403946685248929</v>
      </c>
      <c r="ET74" s="86">
        <f t="shared" si="81"/>
        <v>5</v>
      </c>
      <c r="EU74" s="86">
        <f t="shared" si="81"/>
        <v>5</v>
      </c>
      <c r="EV74" s="86">
        <f t="shared" si="64"/>
        <v>2.3262093628906246</v>
      </c>
      <c r="EW74" s="86">
        <f t="shared" si="65"/>
        <v>3.1123595818578154</v>
      </c>
      <c r="EX74" s="86">
        <f t="shared" si="66"/>
        <v>0.88433910833910778</v>
      </c>
      <c r="EY74" s="86">
        <f t="shared" si="67"/>
        <v>0.90322580645161288</v>
      </c>
      <c r="EZ74" s="83">
        <f t="shared" si="68"/>
        <v>2.81116349329093</v>
      </c>
      <c r="FA74" s="83">
        <f t="shared" si="69"/>
        <v>0.7214587522766498</v>
      </c>
      <c r="FB74" s="83">
        <f t="shared" si="70"/>
        <v>10</v>
      </c>
      <c r="FC74" s="82" t="s">
        <v>125</v>
      </c>
    </row>
    <row r="75" spans="1:159" s="84" customFormat="1" ht="17.100000000000001" customHeight="1">
      <c r="A75" s="144" t="s">
        <v>1790</v>
      </c>
      <c r="B75" s="138" t="s">
        <v>1383</v>
      </c>
      <c r="C75" s="80" t="str">
        <f t="shared" si="71"/>
        <v>Huntzinger, M.  2003.  Effects of fire management practices on butterfly diversity in the forested western United States. Biological Conservation. 113: 1-12.</v>
      </c>
      <c r="D75" s="82" t="s">
        <v>1463</v>
      </c>
      <c r="E75" s="81">
        <v>2003</v>
      </c>
      <c r="F75" s="158" t="s">
        <v>315</v>
      </c>
      <c r="G75" s="158" t="s">
        <v>127</v>
      </c>
      <c r="H75" s="99">
        <v>113</v>
      </c>
      <c r="I75" s="99" t="s">
        <v>316</v>
      </c>
      <c r="J75" s="79"/>
      <c r="K75" s="158" t="s">
        <v>317</v>
      </c>
      <c r="L75" s="82" t="s">
        <v>101</v>
      </c>
      <c r="M75" s="83" t="s">
        <v>73</v>
      </c>
      <c r="N75" s="82" t="s">
        <v>389</v>
      </c>
      <c r="O75" s="82"/>
      <c r="P75" s="99" t="s">
        <v>16</v>
      </c>
      <c r="Q75" s="158" t="s">
        <v>318</v>
      </c>
      <c r="R75" s="158" t="s">
        <v>1385</v>
      </c>
      <c r="S75" s="158"/>
      <c r="T75" s="158" t="s">
        <v>1392</v>
      </c>
      <c r="U75" s="158" t="s">
        <v>1387</v>
      </c>
      <c r="V75" s="99">
        <v>42.17</v>
      </c>
      <c r="W75" s="99">
        <v>-122.69</v>
      </c>
      <c r="X75" s="99" t="s">
        <v>321</v>
      </c>
      <c r="Y75" s="66" t="s">
        <v>1894</v>
      </c>
      <c r="Z75" s="66" t="s">
        <v>2201</v>
      </c>
      <c r="AA75" s="97" t="s">
        <v>49</v>
      </c>
      <c r="AB75" s="79" t="s">
        <v>64</v>
      </c>
      <c r="AC75" s="79" t="s">
        <v>64</v>
      </c>
      <c r="AD75" s="79" t="s">
        <v>64</v>
      </c>
      <c r="AE75" s="79" t="s">
        <v>322</v>
      </c>
      <c r="AF75" s="82" t="s">
        <v>156</v>
      </c>
      <c r="AG75" s="82" t="s">
        <v>92</v>
      </c>
      <c r="AH75" s="82" t="s">
        <v>106</v>
      </c>
      <c r="AI75" s="82" t="s">
        <v>272</v>
      </c>
      <c r="AJ75" s="86">
        <v>5</v>
      </c>
      <c r="AK75" s="86">
        <v>1</v>
      </c>
      <c r="AL75" s="86">
        <v>1</v>
      </c>
      <c r="AM75" s="84" t="s">
        <v>64</v>
      </c>
      <c r="AN75" s="84" t="s">
        <v>64</v>
      </c>
      <c r="AO75" s="84" t="s">
        <v>64</v>
      </c>
      <c r="AP75" s="68" t="s">
        <v>64</v>
      </c>
      <c r="AQ75" s="82" t="s">
        <v>88</v>
      </c>
      <c r="AR75" s="115">
        <v>1</v>
      </c>
      <c r="AS75" s="115">
        <v>1</v>
      </c>
      <c r="AT75" s="86"/>
      <c r="AU75" s="90"/>
      <c r="AV75" s="88">
        <v>0.24390243902439021</v>
      </c>
      <c r="AW75" s="82" t="s">
        <v>328</v>
      </c>
      <c r="AX75" s="138" t="s">
        <v>80</v>
      </c>
      <c r="AY75" s="86">
        <v>5</v>
      </c>
      <c r="AZ75" s="115">
        <v>1</v>
      </c>
      <c r="BA75" s="86">
        <v>1</v>
      </c>
      <c r="BB75" s="86"/>
      <c r="BC75" s="82" t="s">
        <v>327</v>
      </c>
      <c r="BD75" s="83" t="s">
        <v>122</v>
      </c>
      <c r="BE75" s="82" t="s">
        <v>157</v>
      </c>
      <c r="BF75" s="137" t="s">
        <v>118</v>
      </c>
      <c r="BG75" s="138" t="s">
        <v>21</v>
      </c>
      <c r="BH75" s="82" t="s">
        <v>81</v>
      </c>
      <c r="BI75" s="84" t="s">
        <v>324</v>
      </c>
      <c r="BJ75" s="89">
        <f>49.2/12</f>
        <v>4.1000000000000005</v>
      </c>
      <c r="BK75" s="84" t="s">
        <v>326</v>
      </c>
      <c r="BL75" s="84" t="s">
        <v>326</v>
      </c>
      <c r="BM75" s="88">
        <v>3.75</v>
      </c>
      <c r="BN75" s="82" t="s">
        <v>379</v>
      </c>
      <c r="BO75" s="82" t="s">
        <v>323</v>
      </c>
      <c r="BP75" s="142" t="s">
        <v>64</v>
      </c>
      <c r="BQ75" s="82" t="s">
        <v>579</v>
      </c>
      <c r="BR75" s="138" t="s">
        <v>1236</v>
      </c>
      <c r="BS75" s="157" t="s">
        <v>2213</v>
      </c>
      <c r="BT75" s="82" t="s">
        <v>572</v>
      </c>
      <c r="BU75" s="86">
        <v>1.37</v>
      </c>
      <c r="BV75" s="86">
        <v>0.9</v>
      </c>
      <c r="BW75" s="90">
        <v>2.0124611797498111</v>
      </c>
      <c r="BX75" s="86">
        <v>5</v>
      </c>
      <c r="BY75" s="86">
        <v>5</v>
      </c>
      <c r="BZ75" s="82" t="s">
        <v>51</v>
      </c>
      <c r="CA75" s="82" t="s">
        <v>1331</v>
      </c>
      <c r="CB75" s="82" t="s">
        <v>80</v>
      </c>
      <c r="CC75" s="86">
        <v>0.72</v>
      </c>
      <c r="CD75" s="86">
        <v>0.17</v>
      </c>
      <c r="CE75" s="90">
        <v>0.3801315561749643</v>
      </c>
      <c r="CF75" s="86">
        <v>5</v>
      </c>
      <c r="CG75" s="86">
        <v>5</v>
      </c>
      <c r="CH75" s="82" t="s">
        <v>51</v>
      </c>
      <c r="CI75" s="82" t="s">
        <v>1331</v>
      </c>
      <c r="CJ75" s="82"/>
      <c r="CK75" s="86"/>
      <c r="CL75" s="86"/>
      <c r="CM75" s="86"/>
      <c r="CN75" s="86"/>
      <c r="CO75" s="86"/>
      <c r="CP75" s="82"/>
      <c r="CQ75" s="82"/>
      <c r="CR75" s="82"/>
      <c r="CS75" s="86"/>
      <c r="CT75" s="86"/>
      <c r="CU75" s="86"/>
      <c r="CV75" s="86"/>
      <c r="CW75" s="86"/>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6"/>
      <c r="DZ75" s="86"/>
      <c r="EA75" s="86"/>
      <c r="EB75" s="86"/>
      <c r="EC75" s="86"/>
      <c r="ED75" s="82"/>
      <c r="EE75" s="82"/>
      <c r="EF75" s="82"/>
      <c r="EG75" s="86"/>
      <c r="EH75" s="86"/>
      <c r="EI75" s="86"/>
      <c r="EJ75" s="86"/>
      <c r="EK75" s="86"/>
      <c r="EL75" s="82"/>
      <c r="EM75" s="82"/>
      <c r="EN75" s="86">
        <f>BU75</f>
        <v>1.37</v>
      </c>
      <c r="EO75" s="90">
        <f t="shared" si="80"/>
        <v>2.0124611797498111</v>
      </c>
      <c r="EP75" s="86">
        <f t="shared" si="80"/>
        <v>5</v>
      </c>
      <c r="EQ75" s="86">
        <f t="shared" si="80"/>
        <v>5</v>
      </c>
      <c r="ER75" s="86">
        <f>CC75</f>
        <v>0.72</v>
      </c>
      <c r="ES75" s="90">
        <f t="shared" si="81"/>
        <v>0.3801315561749643</v>
      </c>
      <c r="ET75" s="86">
        <f t="shared" si="81"/>
        <v>5</v>
      </c>
      <c r="EU75" s="86">
        <f t="shared" si="81"/>
        <v>5</v>
      </c>
      <c r="EV75" s="86">
        <f t="shared" si="64"/>
        <v>1.4481885236391017</v>
      </c>
      <c r="EW75" s="86">
        <f t="shared" si="65"/>
        <v>0.44883659094786788</v>
      </c>
      <c r="EX75" s="86">
        <f t="shared" si="66"/>
        <v>0.41007271426868519</v>
      </c>
      <c r="EY75" s="86">
        <f t="shared" si="67"/>
        <v>0.90322580645161288</v>
      </c>
      <c r="EZ75" s="83">
        <f t="shared" si="68"/>
        <v>0.40540079182388067</v>
      </c>
      <c r="FA75" s="83">
        <f t="shared" si="69"/>
        <v>0.33454423307663805</v>
      </c>
      <c r="FB75" s="83">
        <f t="shared" si="70"/>
        <v>10</v>
      </c>
      <c r="FC75" s="82" t="s">
        <v>125</v>
      </c>
    </row>
    <row r="76" spans="1:159" s="84" customFormat="1" ht="17.100000000000001" customHeight="1">
      <c r="A76" s="144" t="s">
        <v>1791</v>
      </c>
      <c r="B76" s="138" t="s">
        <v>2063</v>
      </c>
      <c r="C76" s="80" t="str">
        <f t="shared" si="71"/>
        <v>Huntzinger, M.  2003.  Effects of fire management practices on butterfly diversity in the forested western United States. Biological Conservation. 113: 1-12.</v>
      </c>
      <c r="D76" s="82" t="s">
        <v>1463</v>
      </c>
      <c r="E76" s="81">
        <v>2003</v>
      </c>
      <c r="F76" s="158" t="s">
        <v>315</v>
      </c>
      <c r="G76" s="158" t="s">
        <v>127</v>
      </c>
      <c r="H76" s="99">
        <v>113</v>
      </c>
      <c r="I76" s="99" t="s">
        <v>316</v>
      </c>
      <c r="J76" s="79"/>
      <c r="K76" s="158" t="s">
        <v>317</v>
      </c>
      <c r="L76" s="82" t="s">
        <v>101</v>
      </c>
      <c r="M76" s="83" t="s">
        <v>73</v>
      </c>
      <c r="N76" s="82" t="s">
        <v>389</v>
      </c>
      <c r="O76" s="82"/>
      <c r="P76" s="99" t="s">
        <v>16</v>
      </c>
      <c r="Q76" s="158" t="s">
        <v>318</v>
      </c>
      <c r="R76" s="158" t="s">
        <v>319</v>
      </c>
      <c r="S76" s="158"/>
      <c r="T76" s="158" t="s">
        <v>1393</v>
      </c>
      <c r="U76" s="158" t="s">
        <v>1390</v>
      </c>
      <c r="V76" s="99">
        <v>37.770000000000003</v>
      </c>
      <c r="W76" s="99">
        <v>-119.6</v>
      </c>
      <c r="X76" s="99" t="s">
        <v>320</v>
      </c>
      <c r="Y76" s="66" t="s">
        <v>1894</v>
      </c>
      <c r="Z76" s="66" t="s">
        <v>2201</v>
      </c>
      <c r="AA76" s="97" t="s">
        <v>49</v>
      </c>
      <c r="AB76" s="79" t="s">
        <v>64</v>
      </c>
      <c r="AC76" s="79" t="s">
        <v>64</v>
      </c>
      <c r="AD76" s="79" t="s">
        <v>64</v>
      </c>
      <c r="AE76" s="82"/>
      <c r="AF76" s="82" t="s">
        <v>156</v>
      </c>
      <c r="AG76" s="82" t="s">
        <v>92</v>
      </c>
      <c r="AH76" s="82" t="s">
        <v>106</v>
      </c>
      <c r="AI76" s="82" t="s">
        <v>272</v>
      </c>
      <c r="AJ76" s="86">
        <v>5</v>
      </c>
      <c r="AK76" s="86">
        <v>1</v>
      </c>
      <c r="AL76" s="86">
        <v>1</v>
      </c>
      <c r="AM76" s="84" t="s">
        <v>64</v>
      </c>
      <c r="AN76" s="84" t="s">
        <v>64</v>
      </c>
      <c r="AO76" s="84" t="s">
        <v>64</v>
      </c>
      <c r="AP76" s="68" t="s">
        <v>64</v>
      </c>
      <c r="AQ76" s="82" t="s">
        <v>88</v>
      </c>
      <c r="AR76" s="115">
        <v>1</v>
      </c>
      <c r="AS76" s="115">
        <v>1</v>
      </c>
      <c r="AT76" s="86"/>
      <c r="AU76" s="90"/>
      <c r="AV76" s="88">
        <v>9.7560975609756101E-2</v>
      </c>
      <c r="AW76" s="63" t="s">
        <v>328</v>
      </c>
      <c r="AX76" s="138" t="s">
        <v>80</v>
      </c>
      <c r="AY76" s="86">
        <v>7</v>
      </c>
      <c r="AZ76" s="115">
        <v>1</v>
      </c>
      <c r="BA76" s="86">
        <v>1</v>
      </c>
      <c r="BB76" s="86"/>
      <c r="BC76" s="82" t="s">
        <v>327</v>
      </c>
      <c r="BD76" s="83" t="s">
        <v>124</v>
      </c>
      <c r="BE76" s="82" t="s">
        <v>182</v>
      </c>
      <c r="BF76" s="137" t="s">
        <v>118</v>
      </c>
      <c r="BG76" s="138" t="s">
        <v>21</v>
      </c>
      <c r="BH76" s="82" t="s">
        <v>81</v>
      </c>
      <c r="BI76" s="84" t="s">
        <v>324</v>
      </c>
      <c r="BJ76" s="89">
        <f>123/12</f>
        <v>10.25</v>
      </c>
      <c r="BK76" s="84" t="s">
        <v>325</v>
      </c>
      <c r="BL76" s="84" t="s">
        <v>325</v>
      </c>
      <c r="BM76" s="88">
        <v>10.25</v>
      </c>
      <c r="BN76" s="82" t="s">
        <v>379</v>
      </c>
      <c r="BO76" s="82" t="s">
        <v>323</v>
      </c>
      <c r="BP76" s="142" t="s">
        <v>64</v>
      </c>
      <c r="BQ76" s="82"/>
      <c r="BR76" s="138" t="s">
        <v>1236</v>
      </c>
      <c r="BS76" s="157" t="s">
        <v>2213</v>
      </c>
      <c r="BT76" s="82" t="s">
        <v>572</v>
      </c>
      <c r="BU76" s="86">
        <v>13.79</v>
      </c>
      <c r="BV76" s="86">
        <f>15.07-13.79</f>
        <v>1.2800000000000011</v>
      </c>
      <c r="BW76" s="90">
        <v>2.8621670111997335</v>
      </c>
      <c r="BX76" s="86">
        <v>5</v>
      </c>
      <c r="BY76" s="86">
        <v>5</v>
      </c>
      <c r="BZ76" s="82" t="s">
        <v>71</v>
      </c>
      <c r="CA76" s="63" t="s">
        <v>1330</v>
      </c>
      <c r="CB76" s="82" t="s">
        <v>80</v>
      </c>
      <c r="CC76" s="86">
        <v>6.69</v>
      </c>
      <c r="CD76" s="86">
        <f>7.55-6.69</f>
        <v>0.85999999999999943</v>
      </c>
      <c r="CE76" s="90">
        <v>1.923018460649818</v>
      </c>
      <c r="CF76" s="86">
        <v>7</v>
      </c>
      <c r="CG76" s="86">
        <v>7</v>
      </c>
      <c r="CH76" s="82" t="s">
        <v>71</v>
      </c>
      <c r="CI76" s="63" t="s">
        <v>1332</v>
      </c>
      <c r="CJ76" s="82"/>
      <c r="CK76" s="86"/>
      <c r="CL76" s="86"/>
      <c r="CM76" s="86"/>
      <c r="CN76" s="86"/>
      <c r="CO76" s="86"/>
      <c r="CP76" s="82"/>
      <c r="CQ76" s="82"/>
      <c r="CR76" s="82"/>
      <c r="CS76" s="86"/>
      <c r="CT76" s="86"/>
      <c r="CU76" s="86"/>
      <c r="CV76" s="86"/>
      <c r="CW76" s="86"/>
      <c r="CX76" s="82"/>
      <c r="CY76" s="82"/>
      <c r="CZ76" s="82"/>
      <c r="DA76" s="82"/>
      <c r="DB76" s="82"/>
      <c r="DC76" s="82"/>
      <c r="DD76" s="82"/>
      <c r="DE76" s="82"/>
      <c r="DF76" s="82"/>
      <c r="DG76" s="82"/>
      <c r="DH76" s="82"/>
      <c r="DI76" s="82"/>
      <c r="DJ76" s="82"/>
      <c r="DK76" s="82"/>
      <c r="DL76" s="82"/>
      <c r="DM76" s="82"/>
      <c r="DN76" s="82"/>
      <c r="DO76" s="82"/>
      <c r="DP76" s="82"/>
      <c r="DQ76" s="82"/>
      <c r="DR76" s="82"/>
      <c r="DS76" s="82"/>
      <c r="DT76" s="82"/>
      <c r="DU76" s="82"/>
      <c r="DV76" s="82"/>
      <c r="DW76" s="82"/>
      <c r="DX76" s="82"/>
      <c r="DY76" s="86"/>
      <c r="DZ76" s="86"/>
      <c r="EA76" s="86"/>
      <c r="EB76" s="86"/>
      <c r="EC76" s="86"/>
      <c r="ED76" s="82"/>
      <c r="EE76" s="82"/>
      <c r="EF76" s="82"/>
      <c r="EG76" s="86"/>
      <c r="EH76" s="86"/>
      <c r="EI76" s="86"/>
      <c r="EJ76" s="86"/>
      <c r="EK76" s="86"/>
      <c r="EL76" s="82"/>
      <c r="EM76" s="82"/>
      <c r="EN76" s="86">
        <f>BU76</f>
        <v>13.79</v>
      </c>
      <c r="EO76" s="90">
        <f t="shared" si="80"/>
        <v>2.8621670111997335</v>
      </c>
      <c r="EP76" s="86">
        <f t="shared" si="80"/>
        <v>5</v>
      </c>
      <c r="EQ76" s="86">
        <f t="shared" si="80"/>
        <v>5</v>
      </c>
      <c r="ER76" s="86">
        <f>CC76</f>
        <v>6.69</v>
      </c>
      <c r="ES76" s="90">
        <f t="shared" si="81"/>
        <v>1.923018460649818</v>
      </c>
      <c r="ET76" s="86">
        <f t="shared" si="81"/>
        <v>7</v>
      </c>
      <c r="EU76" s="86">
        <f t="shared" si="81"/>
        <v>7</v>
      </c>
      <c r="EV76" s="86">
        <f t="shared" si="64"/>
        <v>2.3442696090680362</v>
      </c>
      <c r="EW76" s="86">
        <f t="shared" si="65"/>
        <v>3.0286618793913394</v>
      </c>
      <c r="EX76" s="86">
        <f t="shared" si="66"/>
        <v>0.72505684201040455</v>
      </c>
      <c r="EY76" s="86">
        <f t="shared" si="67"/>
        <v>0.92307692307692313</v>
      </c>
      <c r="EZ76" s="83">
        <f t="shared" si="68"/>
        <v>2.7956878886689287</v>
      </c>
      <c r="FA76" s="83">
        <f t="shared" si="69"/>
        <v>0.61779991271892465</v>
      </c>
      <c r="FB76" s="83">
        <f t="shared" si="70"/>
        <v>12</v>
      </c>
      <c r="FC76" s="82" t="s">
        <v>125</v>
      </c>
    </row>
    <row r="77" spans="1:159" s="84" customFormat="1" ht="17.100000000000001" customHeight="1">
      <c r="A77" s="144" t="s">
        <v>1791</v>
      </c>
      <c r="B77" s="154" t="s">
        <v>2063</v>
      </c>
      <c r="C77" s="80" t="str">
        <f t="shared" si="71"/>
        <v>Huntzinger, M.  2003.  Effects of fire management practices on butterfly diversity in the forested western United States. Biological Conservation. 113: 1-12.</v>
      </c>
      <c r="D77" s="82" t="s">
        <v>1463</v>
      </c>
      <c r="E77" s="81">
        <v>2003</v>
      </c>
      <c r="F77" s="158" t="s">
        <v>315</v>
      </c>
      <c r="G77" s="158" t="s">
        <v>127</v>
      </c>
      <c r="H77" s="156">
        <v>113</v>
      </c>
      <c r="I77" s="99" t="s">
        <v>316</v>
      </c>
      <c r="J77" s="79"/>
      <c r="K77" s="155" t="s">
        <v>317</v>
      </c>
      <c r="L77" s="82" t="s">
        <v>101</v>
      </c>
      <c r="M77" s="83" t="s">
        <v>73</v>
      </c>
      <c r="N77" s="82" t="s">
        <v>389</v>
      </c>
      <c r="O77" s="82"/>
      <c r="P77" s="156" t="s">
        <v>16</v>
      </c>
      <c r="Q77" s="155" t="s">
        <v>318</v>
      </c>
      <c r="R77" s="155" t="s">
        <v>319</v>
      </c>
      <c r="S77" s="155"/>
      <c r="T77" s="155" t="s">
        <v>1393</v>
      </c>
      <c r="U77" s="155" t="s">
        <v>1390</v>
      </c>
      <c r="V77" s="156">
        <v>37.770000000000003</v>
      </c>
      <c r="W77" s="156">
        <v>-119.6</v>
      </c>
      <c r="X77" s="156" t="s">
        <v>320</v>
      </c>
      <c r="Y77" s="66" t="s">
        <v>1894</v>
      </c>
      <c r="Z77" s="66" t="s">
        <v>2201</v>
      </c>
      <c r="AA77" s="97" t="s">
        <v>49</v>
      </c>
      <c r="AB77" s="79" t="s">
        <v>64</v>
      </c>
      <c r="AC77" s="79" t="s">
        <v>64</v>
      </c>
      <c r="AD77" s="79" t="s">
        <v>64</v>
      </c>
      <c r="AE77" s="82"/>
      <c r="AF77" s="82" t="s">
        <v>156</v>
      </c>
      <c r="AG77" s="82" t="s">
        <v>92</v>
      </c>
      <c r="AH77" s="82" t="s">
        <v>106</v>
      </c>
      <c r="AI77" s="82" t="s">
        <v>272</v>
      </c>
      <c r="AJ77" s="86">
        <v>5</v>
      </c>
      <c r="AK77" s="86">
        <v>1</v>
      </c>
      <c r="AL77" s="86">
        <v>1</v>
      </c>
      <c r="AM77" s="84" t="s">
        <v>64</v>
      </c>
      <c r="AN77" s="84" t="s">
        <v>64</v>
      </c>
      <c r="AO77" s="84" t="s">
        <v>64</v>
      </c>
      <c r="AP77" s="68" t="s">
        <v>64</v>
      </c>
      <c r="AQ77" s="82" t="s">
        <v>88</v>
      </c>
      <c r="AR77" s="86">
        <v>1</v>
      </c>
      <c r="AS77" s="86">
        <v>1</v>
      </c>
      <c r="AT77" s="86"/>
      <c r="AU77" s="90"/>
      <c r="AV77" s="88">
        <v>9.7560975609756101E-2</v>
      </c>
      <c r="AW77" s="82" t="s">
        <v>328</v>
      </c>
      <c r="AX77" s="82" t="s">
        <v>80</v>
      </c>
      <c r="AY77" s="86">
        <v>7</v>
      </c>
      <c r="AZ77" s="86">
        <v>1</v>
      </c>
      <c r="BA77" s="86">
        <v>1</v>
      </c>
      <c r="BB77" s="86"/>
      <c r="BC77" s="82" t="s">
        <v>327</v>
      </c>
      <c r="BD77" s="83" t="s">
        <v>122</v>
      </c>
      <c r="BE77" s="82" t="s">
        <v>157</v>
      </c>
      <c r="BF77" s="83" t="s">
        <v>118</v>
      </c>
      <c r="BG77" s="82" t="s">
        <v>21</v>
      </c>
      <c r="BH77" s="82" t="s">
        <v>81</v>
      </c>
      <c r="BI77" s="84" t="s">
        <v>324</v>
      </c>
      <c r="BJ77" s="89">
        <f>123/12</f>
        <v>10.25</v>
      </c>
      <c r="BK77" s="84" t="s">
        <v>325</v>
      </c>
      <c r="BL77" s="84" t="s">
        <v>325</v>
      </c>
      <c r="BM77" s="88">
        <v>10.25</v>
      </c>
      <c r="BN77" s="82" t="s">
        <v>379</v>
      </c>
      <c r="BO77" s="82" t="s">
        <v>323</v>
      </c>
      <c r="BP77" s="82" t="s">
        <v>64</v>
      </c>
      <c r="BQ77" s="82" t="s">
        <v>579</v>
      </c>
      <c r="BR77" s="82" t="s">
        <v>1236</v>
      </c>
      <c r="BS77" s="157" t="s">
        <v>2213</v>
      </c>
      <c r="BT77" s="82" t="s">
        <v>572</v>
      </c>
      <c r="BU77" s="86">
        <v>2.04</v>
      </c>
      <c r="BV77" s="86">
        <v>0.13</v>
      </c>
      <c r="BW77" s="90">
        <v>0.29068883707497267</v>
      </c>
      <c r="BX77" s="86">
        <v>5</v>
      </c>
      <c r="BY77" s="86">
        <v>5</v>
      </c>
      <c r="BZ77" s="82" t="s">
        <v>71</v>
      </c>
      <c r="CA77" s="82" t="s">
        <v>1330</v>
      </c>
      <c r="CB77" s="82" t="s">
        <v>80</v>
      </c>
      <c r="CC77" s="86">
        <v>1.27</v>
      </c>
      <c r="CD77" s="86">
        <v>0.12</v>
      </c>
      <c r="CE77" s="90">
        <v>0.26832815729997478</v>
      </c>
      <c r="CF77" s="86">
        <v>7</v>
      </c>
      <c r="CG77" s="86">
        <v>7</v>
      </c>
      <c r="CH77" s="82" t="s">
        <v>71</v>
      </c>
      <c r="CI77" s="82" t="s">
        <v>1332</v>
      </c>
      <c r="CJ77" s="82"/>
      <c r="CK77" s="86"/>
      <c r="CL77" s="86"/>
      <c r="CM77" s="86"/>
      <c r="CN77" s="86"/>
      <c r="CO77" s="86"/>
      <c r="CP77" s="82"/>
      <c r="CQ77" s="82"/>
      <c r="CR77" s="82"/>
      <c r="CS77" s="86"/>
      <c r="CT77" s="86"/>
      <c r="CU77" s="86"/>
      <c r="CV77" s="86"/>
      <c r="CW77" s="86"/>
      <c r="CX77" s="82"/>
      <c r="CY77" s="82"/>
      <c r="CZ77" s="82"/>
      <c r="DA77" s="82"/>
      <c r="DB77" s="82"/>
      <c r="DC77" s="82"/>
      <c r="DD77" s="82"/>
      <c r="DE77" s="82"/>
      <c r="DF77" s="82"/>
      <c r="DG77" s="82"/>
      <c r="DH77" s="82"/>
      <c r="DI77" s="82"/>
      <c r="DJ77" s="82"/>
      <c r="DK77" s="82"/>
      <c r="DL77" s="82"/>
      <c r="DM77" s="82"/>
      <c r="DN77" s="82"/>
      <c r="DO77" s="82"/>
      <c r="DP77" s="82"/>
      <c r="DQ77" s="82"/>
      <c r="DR77" s="82"/>
      <c r="DS77" s="82"/>
      <c r="DT77" s="82"/>
      <c r="DU77" s="82"/>
      <c r="DV77" s="82"/>
      <c r="DW77" s="82"/>
      <c r="DX77" s="82"/>
      <c r="DY77" s="86"/>
      <c r="DZ77" s="86"/>
      <c r="EA77" s="86"/>
      <c r="EB77" s="86"/>
      <c r="EC77" s="86"/>
      <c r="ED77" s="82"/>
      <c r="EE77" s="82"/>
      <c r="EF77" s="82"/>
      <c r="EG77" s="86"/>
      <c r="EH77" s="86"/>
      <c r="EI77" s="86"/>
      <c r="EJ77" s="86"/>
      <c r="EK77" s="86"/>
      <c r="EL77" s="82"/>
      <c r="EM77" s="82"/>
      <c r="EN77" s="86">
        <f>BU77</f>
        <v>2.04</v>
      </c>
      <c r="EO77" s="90">
        <f t="shared" si="80"/>
        <v>0.29068883707497267</v>
      </c>
      <c r="EP77" s="86">
        <f t="shared" si="80"/>
        <v>5</v>
      </c>
      <c r="EQ77" s="86">
        <f t="shared" si="80"/>
        <v>5</v>
      </c>
      <c r="ER77" s="86">
        <f>CC77</f>
        <v>1.27</v>
      </c>
      <c r="ES77" s="90">
        <f t="shared" si="81"/>
        <v>0.26832815729997478</v>
      </c>
      <c r="ET77" s="86">
        <f t="shared" si="81"/>
        <v>7</v>
      </c>
      <c r="EU77" s="86">
        <f t="shared" si="81"/>
        <v>7</v>
      </c>
      <c r="EV77" s="86">
        <f t="shared" si="64"/>
        <v>0.27748873851023215</v>
      </c>
      <c r="EW77" s="86">
        <f t="shared" si="65"/>
        <v>2.7748873851023217</v>
      </c>
      <c r="EX77" s="86">
        <f t="shared" si="66"/>
        <v>0.66369047619047628</v>
      </c>
      <c r="EY77" s="86">
        <f t="shared" si="67"/>
        <v>0.92307692307692313</v>
      </c>
      <c r="EZ77" s="83">
        <f t="shared" si="68"/>
        <v>2.56143450932522</v>
      </c>
      <c r="FA77" s="83">
        <f t="shared" si="69"/>
        <v>0.56551141166525798</v>
      </c>
      <c r="FB77" s="83">
        <f t="shared" si="70"/>
        <v>12</v>
      </c>
      <c r="FC77" s="82" t="s">
        <v>125</v>
      </c>
    </row>
    <row r="78" spans="1:159" s="84" customFormat="1" ht="17.100000000000001" customHeight="1">
      <c r="A78" s="144" t="s">
        <v>1830</v>
      </c>
      <c r="B78" s="154" t="s">
        <v>1451</v>
      </c>
      <c r="C78" s="80" t="str">
        <f t="shared" si="71"/>
        <v>Hurteau, S. R., Sisk, T. D., Block, W. M., &amp; Dickson, B. G.  2008.  Fuel-reduction treatment effects on avian community structure and diversity. Journal of Wildlife Management. 72: 1168-1174.</v>
      </c>
      <c r="D78" s="81" t="s">
        <v>1497</v>
      </c>
      <c r="E78" s="81">
        <v>2008</v>
      </c>
      <c r="F78" s="158" t="s">
        <v>57</v>
      </c>
      <c r="G78" s="158" t="s">
        <v>58</v>
      </c>
      <c r="H78" s="156">
        <v>72</v>
      </c>
      <c r="I78" s="99" t="s">
        <v>59</v>
      </c>
      <c r="J78" s="79"/>
      <c r="K78" s="155" t="s">
        <v>60</v>
      </c>
      <c r="L78" s="79" t="s">
        <v>18</v>
      </c>
      <c r="M78" s="97" t="s">
        <v>73</v>
      </c>
      <c r="N78" s="79" t="s">
        <v>389</v>
      </c>
      <c r="O78" s="82"/>
      <c r="P78" s="156" t="s">
        <v>16</v>
      </c>
      <c r="Q78" s="155" t="s">
        <v>61</v>
      </c>
      <c r="R78" s="155" t="s">
        <v>1571</v>
      </c>
      <c r="S78" s="155" t="s">
        <v>1560</v>
      </c>
      <c r="T78" s="155" t="s">
        <v>65</v>
      </c>
      <c r="U78" s="155" t="s">
        <v>66</v>
      </c>
      <c r="V78" s="156">
        <v>35.200000000000003</v>
      </c>
      <c r="W78" s="156">
        <v>-111.88</v>
      </c>
      <c r="X78" s="156" t="s">
        <v>63</v>
      </c>
      <c r="Y78" s="99" t="s">
        <v>1899</v>
      </c>
      <c r="Z78" s="66" t="s">
        <v>2204</v>
      </c>
      <c r="AA78" s="97" t="s">
        <v>49</v>
      </c>
      <c r="AB78" s="82" t="s">
        <v>64</v>
      </c>
      <c r="AC78" s="82" t="s">
        <v>64</v>
      </c>
      <c r="AD78" s="82"/>
      <c r="AE78" s="79" t="s">
        <v>62</v>
      </c>
      <c r="AF78" s="82" t="s">
        <v>86</v>
      </c>
      <c r="AG78" s="82" t="s">
        <v>67</v>
      </c>
      <c r="AH78" s="82" t="s">
        <v>106</v>
      </c>
      <c r="AI78" s="82" t="s">
        <v>272</v>
      </c>
      <c r="AJ78" s="86">
        <v>3</v>
      </c>
      <c r="AK78" s="86">
        <v>1</v>
      </c>
      <c r="AL78" s="86">
        <v>1</v>
      </c>
      <c r="AM78" s="84" t="s">
        <v>77</v>
      </c>
      <c r="AN78" s="84" t="s">
        <v>524</v>
      </c>
      <c r="AO78" s="84" t="s">
        <v>524</v>
      </c>
      <c r="AP78" s="68" t="s">
        <v>2228</v>
      </c>
      <c r="AQ78" s="82" t="s">
        <v>94</v>
      </c>
      <c r="AR78" s="86">
        <v>1</v>
      </c>
      <c r="AS78" s="86">
        <v>36</v>
      </c>
      <c r="AT78" s="86"/>
      <c r="AU78" s="87"/>
      <c r="AV78" s="88">
        <v>0.33333333333333331</v>
      </c>
      <c r="AW78" s="82"/>
      <c r="AX78" s="82" t="s">
        <v>80</v>
      </c>
      <c r="AY78" s="86">
        <v>3</v>
      </c>
      <c r="AZ78" s="86">
        <v>1</v>
      </c>
      <c r="BA78" s="86">
        <v>36</v>
      </c>
      <c r="BB78" s="86"/>
      <c r="BC78" s="82"/>
      <c r="BD78" s="83" t="s">
        <v>124</v>
      </c>
      <c r="BE78" s="82" t="s">
        <v>182</v>
      </c>
      <c r="BF78" s="83" t="s">
        <v>111</v>
      </c>
      <c r="BG78" s="138" t="s">
        <v>21</v>
      </c>
      <c r="BH78" s="82" t="s">
        <v>81</v>
      </c>
      <c r="BI78" s="84" t="s">
        <v>68</v>
      </c>
      <c r="BJ78" s="89">
        <f t="shared" ref="BJ78:BJ85" si="82">BK78/12</f>
        <v>3</v>
      </c>
      <c r="BK78" s="84">
        <v>36</v>
      </c>
      <c r="BL78" s="84">
        <v>36</v>
      </c>
      <c r="BM78" s="88">
        <v>3</v>
      </c>
      <c r="BN78" s="82" t="s">
        <v>389</v>
      </c>
      <c r="BO78" s="82" t="s">
        <v>70</v>
      </c>
      <c r="BP78" s="82" t="s">
        <v>64</v>
      </c>
      <c r="BQ78" s="82"/>
      <c r="BR78" s="138"/>
      <c r="BS78" s="82" t="s">
        <v>70</v>
      </c>
      <c r="BT78" s="82"/>
      <c r="BU78" s="86"/>
      <c r="BV78" s="86"/>
      <c r="BW78" s="90"/>
      <c r="BX78" s="86"/>
      <c r="BY78" s="86"/>
      <c r="BZ78" s="82"/>
      <c r="CA78" s="82"/>
      <c r="CB78" s="82"/>
      <c r="CC78" s="86"/>
      <c r="CD78" s="86"/>
      <c r="CE78" s="90"/>
      <c r="CF78" s="86"/>
      <c r="CG78" s="86"/>
      <c r="CH78" s="82"/>
      <c r="CI78" s="82"/>
      <c r="CJ78" s="82"/>
      <c r="CK78" s="86"/>
      <c r="CL78" s="86"/>
      <c r="CM78" s="86"/>
      <c r="CN78" s="86"/>
      <c r="CO78" s="86"/>
      <c r="CP78" s="82"/>
      <c r="CQ78" s="82"/>
      <c r="CR78" s="82" t="s">
        <v>72</v>
      </c>
      <c r="CS78" s="86">
        <v>20.8</v>
      </c>
      <c r="CT78" s="86">
        <v>1.9</v>
      </c>
      <c r="CU78" s="86">
        <v>3.2908965343808667</v>
      </c>
      <c r="CV78" s="86">
        <v>3</v>
      </c>
      <c r="CW78" s="86">
        <v>3</v>
      </c>
      <c r="CX78" s="82" t="s">
        <v>71</v>
      </c>
      <c r="CY78" s="82" t="s">
        <v>1286</v>
      </c>
      <c r="CZ78" s="82" t="s">
        <v>80</v>
      </c>
      <c r="DA78" s="82">
        <v>22.4</v>
      </c>
      <c r="DB78" s="82">
        <v>1.8</v>
      </c>
      <c r="DC78" s="82">
        <v>3.117691453623979</v>
      </c>
      <c r="DD78" s="82">
        <v>3</v>
      </c>
      <c r="DE78" s="82">
        <v>3</v>
      </c>
      <c r="DF78" s="82" t="s">
        <v>71</v>
      </c>
      <c r="DG78" s="82" t="s">
        <v>413</v>
      </c>
      <c r="DH78" s="82" t="s">
        <v>72</v>
      </c>
      <c r="DI78" s="82">
        <v>31.5</v>
      </c>
      <c r="DJ78" s="82">
        <v>1.9</v>
      </c>
      <c r="DK78" s="82">
        <v>3.2908965343808667</v>
      </c>
      <c r="DL78" s="82">
        <v>3</v>
      </c>
      <c r="DM78" s="82">
        <v>3</v>
      </c>
      <c r="DN78" s="82" t="s">
        <v>71</v>
      </c>
      <c r="DO78" s="82" t="s">
        <v>413</v>
      </c>
      <c r="DP78" s="82" t="s">
        <v>80</v>
      </c>
      <c r="DQ78" s="82">
        <v>32.9</v>
      </c>
      <c r="DR78" s="82">
        <v>2.2000000000000002</v>
      </c>
      <c r="DS78" s="82">
        <v>3.8105117766515302</v>
      </c>
      <c r="DT78" s="82">
        <v>3</v>
      </c>
      <c r="DU78" s="82">
        <v>3</v>
      </c>
      <c r="DV78" s="82" t="s">
        <v>71</v>
      </c>
      <c r="DW78" s="82" t="s">
        <v>413</v>
      </c>
      <c r="DX78" s="82" t="s">
        <v>1747</v>
      </c>
      <c r="DY78" s="86">
        <f t="shared" ref="DY78:DY89" si="83">DI78-CS78</f>
        <v>10.7</v>
      </c>
      <c r="DZ78" s="86"/>
      <c r="EA78" s="86">
        <f t="shared" ref="EA78:EA89" si="84">SQRT((CU78^2)+(DK78^2))</f>
        <v>4.6540305112880382</v>
      </c>
      <c r="EB78" s="86">
        <v>3</v>
      </c>
      <c r="EC78" s="86">
        <v>3</v>
      </c>
      <c r="ED78" s="82" t="s">
        <v>1743</v>
      </c>
      <c r="EE78" s="82" t="s">
        <v>1744</v>
      </c>
      <c r="EF78" s="82" t="s">
        <v>1746</v>
      </c>
      <c r="EG78" s="86">
        <f t="shared" ref="EG78:EG89" si="85">DQ78-DA78</f>
        <v>10.5</v>
      </c>
      <c r="EH78" s="86"/>
      <c r="EI78" s="86">
        <f t="shared" ref="EI78:EI89" si="86">SQRT((DS78^2)+(DC78^2))</f>
        <v>4.9234134500364686</v>
      </c>
      <c r="EJ78" s="86">
        <v>3</v>
      </c>
      <c r="EK78" s="86">
        <v>3</v>
      </c>
      <c r="EL78" s="82" t="s">
        <v>1743</v>
      </c>
      <c r="EM78" s="82" t="s">
        <v>1745</v>
      </c>
      <c r="EN78" s="86">
        <f t="shared" ref="EN78:EN89" si="87">DY78</f>
        <v>10.7</v>
      </c>
      <c r="EO78" s="86">
        <f t="shared" ref="EO78:EO89" si="88">EA78</f>
        <v>4.6540305112880382</v>
      </c>
      <c r="EP78" s="86">
        <f t="shared" ref="EP78:EP89" si="89">EB78</f>
        <v>3</v>
      </c>
      <c r="EQ78" s="86">
        <f t="shared" ref="EQ78:EQ89" si="90">EC78</f>
        <v>3</v>
      </c>
      <c r="ER78" s="86">
        <f t="shared" ref="ER78:ER89" si="91">EG78</f>
        <v>10.5</v>
      </c>
      <c r="ES78" s="86">
        <f t="shared" ref="ES78:ES89" si="92">EI78</f>
        <v>4.9234134500364686</v>
      </c>
      <c r="ET78" s="86">
        <f t="shared" ref="ET78:ET89" si="93">EJ78</f>
        <v>3</v>
      </c>
      <c r="EU78" s="86">
        <f t="shared" ref="EU78:EU89" si="94">EK78</f>
        <v>3</v>
      </c>
      <c r="EV78" s="86">
        <f t="shared" si="64"/>
        <v>4.7906158268013943</v>
      </c>
      <c r="EW78" s="86">
        <f t="shared" si="65"/>
        <v>4.1748286072343148E-2</v>
      </c>
      <c r="EX78" s="86">
        <f t="shared" si="66"/>
        <v>0.66681190994916484</v>
      </c>
      <c r="EY78" s="86">
        <f t="shared" si="67"/>
        <v>0.8</v>
      </c>
      <c r="EZ78" s="83">
        <f t="shared" si="68"/>
        <v>3.3398628857874521E-2</v>
      </c>
      <c r="FA78" s="83">
        <f t="shared" si="69"/>
        <v>0.42675962236746556</v>
      </c>
      <c r="FB78" s="83">
        <f t="shared" si="70"/>
        <v>6</v>
      </c>
      <c r="FC78" s="82" t="s">
        <v>125</v>
      </c>
    </row>
    <row r="79" spans="1:159" s="84" customFormat="1" ht="17.100000000000001" customHeight="1">
      <c r="A79" s="144" t="s">
        <v>1830</v>
      </c>
      <c r="B79" s="138" t="s">
        <v>1451</v>
      </c>
      <c r="C79" s="80" t="str">
        <f t="shared" si="71"/>
        <v>Hurteau, S. R., Sisk, T. D., Block, W. M., &amp; Dickson, B. G.  2008.  Fuel-reduction treatment effects on avian community structure and diversity. Journal of Wildlife Management. 72: 1168-1174.</v>
      </c>
      <c r="D79" s="81" t="s">
        <v>1497</v>
      </c>
      <c r="E79" s="81">
        <v>2008</v>
      </c>
      <c r="F79" s="79" t="s">
        <v>57</v>
      </c>
      <c r="G79" s="79" t="s">
        <v>58</v>
      </c>
      <c r="H79" s="81">
        <v>72</v>
      </c>
      <c r="I79" s="81" t="s">
        <v>59</v>
      </c>
      <c r="J79" s="79"/>
      <c r="K79" s="79" t="s">
        <v>60</v>
      </c>
      <c r="L79" s="79" t="s">
        <v>18</v>
      </c>
      <c r="M79" s="97" t="s">
        <v>73</v>
      </c>
      <c r="N79" s="79" t="s">
        <v>389</v>
      </c>
      <c r="O79" s="82"/>
      <c r="P79" s="81" t="s">
        <v>16</v>
      </c>
      <c r="Q79" s="79" t="s">
        <v>61</v>
      </c>
      <c r="R79" s="79" t="s">
        <v>1571</v>
      </c>
      <c r="S79" s="79" t="s">
        <v>1560</v>
      </c>
      <c r="T79" s="79" t="s">
        <v>65</v>
      </c>
      <c r="U79" s="79" t="s">
        <v>66</v>
      </c>
      <c r="V79" s="81">
        <v>35.200000000000003</v>
      </c>
      <c r="W79" s="81">
        <v>-111.88</v>
      </c>
      <c r="X79" s="81" t="s">
        <v>63</v>
      </c>
      <c r="Y79" s="99" t="s">
        <v>1899</v>
      </c>
      <c r="Z79" s="66" t="s">
        <v>2204</v>
      </c>
      <c r="AA79" s="97" t="s">
        <v>49</v>
      </c>
      <c r="AB79" s="82" t="s">
        <v>64</v>
      </c>
      <c r="AC79" s="82" t="s">
        <v>64</v>
      </c>
      <c r="AD79" s="82"/>
      <c r="AE79" s="79" t="s">
        <v>62</v>
      </c>
      <c r="AF79" s="82" t="s">
        <v>86</v>
      </c>
      <c r="AG79" s="82" t="s">
        <v>67</v>
      </c>
      <c r="AH79" s="82" t="s">
        <v>106</v>
      </c>
      <c r="AI79" s="82" t="s">
        <v>272</v>
      </c>
      <c r="AJ79" s="86">
        <v>3</v>
      </c>
      <c r="AK79" s="86">
        <v>1</v>
      </c>
      <c r="AL79" s="86">
        <v>1</v>
      </c>
      <c r="AM79" s="84" t="s">
        <v>77</v>
      </c>
      <c r="AN79" s="84" t="s">
        <v>524</v>
      </c>
      <c r="AO79" s="84" t="s">
        <v>524</v>
      </c>
      <c r="AP79" s="68" t="s">
        <v>2228</v>
      </c>
      <c r="AQ79" s="82" t="s">
        <v>94</v>
      </c>
      <c r="AR79" s="86">
        <v>1</v>
      </c>
      <c r="AS79" s="86">
        <v>36</v>
      </c>
      <c r="AT79" s="86"/>
      <c r="AU79" s="87"/>
      <c r="AV79" s="88">
        <v>0.33333333333333331</v>
      </c>
      <c r="AW79" s="82"/>
      <c r="AX79" s="116" t="s">
        <v>80</v>
      </c>
      <c r="AY79" s="86">
        <v>3</v>
      </c>
      <c r="AZ79" s="159">
        <v>1</v>
      </c>
      <c r="BA79" s="86">
        <v>36</v>
      </c>
      <c r="BB79" s="86"/>
      <c r="BC79" s="82"/>
      <c r="BD79" s="83" t="s">
        <v>122</v>
      </c>
      <c r="BE79" s="82" t="s">
        <v>1602</v>
      </c>
      <c r="BF79" s="83" t="s">
        <v>111</v>
      </c>
      <c r="BG79" s="82" t="s">
        <v>21</v>
      </c>
      <c r="BH79" s="82" t="s">
        <v>81</v>
      </c>
      <c r="BI79" s="84" t="s">
        <v>68</v>
      </c>
      <c r="BJ79" s="89">
        <f t="shared" si="82"/>
        <v>3</v>
      </c>
      <c r="BK79" s="84">
        <v>36</v>
      </c>
      <c r="BL79" s="84">
        <v>36</v>
      </c>
      <c r="BM79" s="88">
        <v>3</v>
      </c>
      <c r="BN79" s="82" t="s">
        <v>389</v>
      </c>
      <c r="BO79" s="82" t="s">
        <v>70</v>
      </c>
      <c r="BP79" s="82" t="s">
        <v>64</v>
      </c>
      <c r="BQ79" s="82" t="s">
        <v>577</v>
      </c>
      <c r="BR79" s="82"/>
      <c r="BS79" s="82" t="s">
        <v>70</v>
      </c>
      <c r="BT79" s="82"/>
      <c r="BU79" s="86"/>
      <c r="BV79" s="86"/>
      <c r="BW79" s="90"/>
      <c r="BX79" s="86"/>
      <c r="BY79" s="86"/>
      <c r="BZ79" s="82"/>
      <c r="CA79" s="82"/>
      <c r="CB79" s="82"/>
      <c r="CC79" s="86"/>
      <c r="CD79" s="86"/>
      <c r="CE79" s="101"/>
      <c r="CF79" s="86"/>
      <c r="CG79" s="86"/>
      <c r="CH79" s="82"/>
      <c r="CI79" s="82"/>
      <c r="CJ79" s="82"/>
      <c r="CK79" s="86"/>
      <c r="CL79" s="86"/>
      <c r="CM79" s="86"/>
      <c r="CN79" s="86"/>
      <c r="CO79" s="86"/>
      <c r="CP79" s="82"/>
      <c r="CQ79" s="82"/>
      <c r="CR79" s="82" t="s">
        <v>72</v>
      </c>
      <c r="CS79" s="86">
        <v>8</v>
      </c>
      <c r="CT79" s="86">
        <v>1.4</v>
      </c>
      <c r="CU79" s="86">
        <v>2.4248711305964279</v>
      </c>
      <c r="CV79" s="86">
        <v>3</v>
      </c>
      <c r="CW79" s="86">
        <v>3</v>
      </c>
      <c r="CX79" s="82" t="s">
        <v>71</v>
      </c>
      <c r="CY79" s="82" t="s">
        <v>1286</v>
      </c>
      <c r="CZ79" s="82" t="s">
        <v>80</v>
      </c>
      <c r="DA79" s="82">
        <v>12</v>
      </c>
      <c r="DB79" s="82">
        <v>1.2</v>
      </c>
      <c r="DC79" s="82">
        <v>2.0784609690826525</v>
      </c>
      <c r="DD79" s="82">
        <v>3</v>
      </c>
      <c r="DE79" s="82">
        <v>3</v>
      </c>
      <c r="DF79" s="82" t="s">
        <v>71</v>
      </c>
      <c r="DG79" s="82" t="s">
        <v>413</v>
      </c>
      <c r="DH79" s="82" t="s">
        <v>72</v>
      </c>
      <c r="DI79" s="82">
        <v>14.5</v>
      </c>
      <c r="DJ79" s="82">
        <v>0.9</v>
      </c>
      <c r="DK79" s="82">
        <v>1.5588457268119895</v>
      </c>
      <c r="DL79" s="82">
        <v>3</v>
      </c>
      <c r="DM79" s="82">
        <v>3</v>
      </c>
      <c r="DN79" s="82" t="s">
        <v>71</v>
      </c>
      <c r="DO79" s="82" t="s">
        <v>413</v>
      </c>
      <c r="DP79" s="82" t="s">
        <v>80</v>
      </c>
      <c r="DQ79" s="82">
        <v>13</v>
      </c>
      <c r="DR79" s="82">
        <v>1</v>
      </c>
      <c r="DS79" s="82">
        <v>1.7320508075688772</v>
      </c>
      <c r="DT79" s="82">
        <v>3</v>
      </c>
      <c r="DU79" s="82">
        <v>3</v>
      </c>
      <c r="DV79" s="82" t="s">
        <v>71</v>
      </c>
      <c r="DW79" s="82" t="s">
        <v>413</v>
      </c>
      <c r="DX79" s="82" t="s">
        <v>1747</v>
      </c>
      <c r="DY79" s="86">
        <f t="shared" si="83"/>
        <v>6.5</v>
      </c>
      <c r="DZ79" s="86"/>
      <c r="EA79" s="86">
        <f t="shared" si="84"/>
        <v>2.8827070610799148</v>
      </c>
      <c r="EB79" s="86">
        <v>3</v>
      </c>
      <c r="EC79" s="86">
        <v>3</v>
      </c>
      <c r="ED79" s="82" t="s">
        <v>1743</v>
      </c>
      <c r="EE79" s="82" t="s">
        <v>1744</v>
      </c>
      <c r="EF79" s="82" t="s">
        <v>1746</v>
      </c>
      <c r="EG79" s="86">
        <f t="shared" si="85"/>
        <v>1</v>
      </c>
      <c r="EH79" s="86"/>
      <c r="EI79" s="86">
        <f t="shared" si="86"/>
        <v>2.7055498516937364</v>
      </c>
      <c r="EJ79" s="86">
        <v>3</v>
      </c>
      <c r="EK79" s="86">
        <v>3</v>
      </c>
      <c r="EL79" s="82" t="s">
        <v>1743</v>
      </c>
      <c r="EM79" s="82" t="s">
        <v>1745</v>
      </c>
      <c r="EN79" s="86">
        <f t="shared" si="87"/>
        <v>6.5</v>
      </c>
      <c r="EO79" s="86">
        <f t="shared" si="88"/>
        <v>2.8827070610799148</v>
      </c>
      <c r="EP79" s="86">
        <f t="shared" si="89"/>
        <v>3</v>
      </c>
      <c r="EQ79" s="86">
        <f t="shared" si="90"/>
        <v>3</v>
      </c>
      <c r="ER79" s="86">
        <f t="shared" si="91"/>
        <v>1</v>
      </c>
      <c r="ES79" s="86">
        <f t="shared" si="92"/>
        <v>2.7055498516937364</v>
      </c>
      <c r="ET79" s="86">
        <f t="shared" si="93"/>
        <v>3</v>
      </c>
      <c r="EU79" s="86">
        <f t="shared" si="94"/>
        <v>3</v>
      </c>
      <c r="EV79" s="86">
        <f t="shared" si="64"/>
        <v>2.7955321496988725</v>
      </c>
      <c r="EW79" s="86">
        <f t="shared" si="65"/>
        <v>1.9674250573696481</v>
      </c>
      <c r="EX79" s="86">
        <f t="shared" si="66"/>
        <v>0.9892301130304969</v>
      </c>
      <c r="EY79" s="86">
        <f t="shared" si="67"/>
        <v>0.8</v>
      </c>
      <c r="EZ79" s="83">
        <f t="shared" si="68"/>
        <v>1.5739400458957187</v>
      </c>
      <c r="FA79" s="83">
        <f t="shared" si="69"/>
        <v>0.63310727233951813</v>
      </c>
      <c r="FB79" s="83">
        <f t="shared" si="70"/>
        <v>6</v>
      </c>
      <c r="FC79" s="82" t="s">
        <v>125</v>
      </c>
    </row>
    <row r="80" spans="1:159" s="84" customFormat="1" ht="17.100000000000001" customHeight="1">
      <c r="A80" s="144" t="s">
        <v>1850</v>
      </c>
      <c r="B80" s="151" t="s">
        <v>1575</v>
      </c>
      <c r="C80" s="80" t="str">
        <f t="shared" si="71"/>
        <v>Hurteau, M., &amp; North, M. 2008.  Mixed-conifer understory response to climate change, nitrogen, and fire.. Global Change Biology. 14: 1543-1552.</v>
      </c>
      <c r="D80" s="91" t="s">
        <v>1519</v>
      </c>
      <c r="E80" s="91">
        <v>2008</v>
      </c>
      <c r="F80" s="107" t="s">
        <v>1551</v>
      </c>
      <c r="G80" s="107" t="s">
        <v>1109</v>
      </c>
      <c r="H80" s="151">
        <v>14</v>
      </c>
      <c r="I80" s="107" t="s">
        <v>1110</v>
      </c>
      <c r="J80" s="81"/>
      <c r="K80" s="160" t="s">
        <v>1111</v>
      </c>
      <c r="L80" s="84" t="s">
        <v>18</v>
      </c>
      <c r="M80" s="93" t="s">
        <v>1084</v>
      </c>
      <c r="N80" s="84" t="s">
        <v>389</v>
      </c>
      <c r="P80" s="151" t="s">
        <v>16</v>
      </c>
      <c r="Q80" s="151" t="s">
        <v>15</v>
      </c>
      <c r="R80" s="151" t="s">
        <v>1112</v>
      </c>
      <c r="S80" s="151"/>
      <c r="T80" s="151" t="s">
        <v>1444</v>
      </c>
      <c r="U80" s="151" t="s">
        <v>1447</v>
      </c>
      <c r="V80" s="151">
        <v>37.42</v>
      </c>
      <c r="W80" s="104">
        <v>-119.28</v>
      </c>
      <c r="X80" s="91">
        <v>2100</v>
      </c>
      <c r="Y80" s="66" t="s">
        <v>1894</v>
      </c>
      <c r="Z80" s="66" t="s">
        <v>2201</v>
      </c>
      <c r="AA80" s="161" t="s">
        <v>49</v>
      </c>
      <c r="AB80" s="81" t="s">
        <v>64</v>
      </c>
      <c r="AC80" s="84" t="s">
        <v>235</v>
      </c>
      <c r="AF80" s="85" t="s">
        <v>105</v>
      </c>
      <c r="AG80" s="85" t="s">
        <v>92</v>
      </c>
      <c r="AH80" s="85" t="s">
        <v>156</v>
      </c>
      <c r="AI80" s="84" t="s">
        <v>93</v>
      </c>
      <c r="AJ80" s="115">
        <v>3</v>
      </c>
      <c r="AK80" s="115">
        <v>1</v>
      </c>
      <c r="AL80" s="115">
        <v>1</v>
      </c>
      <c r="AM80" s="85" t="s">
        <v>1113</v>
      </c>
      <c r="AN80" s="84" t="s">
        <v>1114</v>
      </c>
      <c r="AO80" s="84" t="s">
        <v>1114</v>
      </c>
      <c r="AP80" s="68" t="s">
        <v>2227</v>
      </c>
      <c r="AQ80" s="84" t="s">
        <v>88</v>
      </c>
      <c r="AR80" s="86">
        <v>3</v>
      </c>
      <c r="AS80" s="87" t="s">
        <v>439</v>
      </c>
      <c r="AT80" s="86"/>
      <c r="AU80" s="87"/>
      <c r="AV80" s="88">
        <v>1</v>
      </c>
      <c r="AW80" s="84" t="s">
        <v>1115</v>
      </c>
      <c r="AX80" s="85" t="s">
        <v>80</v>
      </c>
      <c r="AY80" s="86">
        <v>3</v>
      </c>
      <c r="AZ80" s="115">
        <v>3</v>
      </c>
      <c r="BA80" s="87" t="s">
        <v>439</v>
      </c>
      <c r="BB80" s="86"/>
      <c r="BC80" s="84" t="s">
        <v>1115</v>
      </c>
      <c r="BD80" s="149" t="s">
        <v>124</v>
      </c>
      <c r="BE80" s="85" t="s">
        <v>182</v>
      </c>
      <c r="BF80" s="162" t="s">
        <v>386</v>
      </c>
      <c r="BG80" s="85" t="s">
        <v>21</v>
      </c>
      <c r="BH80" s="85" t="s">
        <v>81</v>
      </c>
      <c r="BI80" s="84" t="s">
        <v>1116</v>
      </c>
      <c r="BJ80" s="89">
        <f t="shared" si="82"/>
        <v>1</v>
      </c>
      <c r="BK80" s="84">
        <v>12</v>
      </c>
      <c r="BL80" s="84">
        <v>12</v>
      </c>
      <c r="BM80" s="88">
        <v>1</v>
      </c>
      <c r="BN80" s="84" t="s">
        <v>379</v>
      </c>
      <c r="BO80" s="84" t="s">
        <v>856</v>
      </c>
      <c r="BP80" s="163" t="s">
        <v>64</v>
      </c>
      <c r="BQ80" s="85"/>
      <c r="BR80" s="84" t="s">
        <v>1117</v>
      </c>
      <c r="BS80" s="84" t="s">
        <v>2125</v>
      </c>
      <c r="BU80" s="86"/>
      <c r="BV80" s="86"/>
      <c r="BW80" s="90"/>
      <c r="BX80" s="86"/>
      <c r="BY80" s="86"/>
      <c r="CC80" s="86"/>
      <c r="CD80" s="86"/>
      <c r="CE80" s="90"/>
      <c r="CF80" s="86"/>
      <c r="CG80" s="86"/>
      <c r="CK80" s="86"/>
      <c r="CL80" s="86"/>
      <c r="CM80" s="86"/>
      <c r="CN80" s="86"/>
      <c r="CO80" s="86"/>
      <c r="CR80" s="84" t="s">
        <v>572</v>
      </c>
      <c r="CS80" s="86">
        <v>10.3</v>
      </c>
      <c r="CT80" s="86">
        <v>1.45</v>
      </c>
      <c r="CU80" s="114">
        <v>2.5114736709748717</v>
      </c>
      <c r="CV80" s="86">
        <v>3</v>
      </c>
      <c r="CW80" s="86">
        <v>3</v>
      </c>
      <c r="CX80" s="84" t="s">
        <v>1290</v>
      </c>
      <c r="CY80" s="84" t="s">
        <v>1289</v>
      </c>
      <c r="CZ80" s="84" t="s">
        <v>80</v>
      </c>
      <c r="DA80" s="82">
        <v>6.7</v>
      </c>
      <c r="DB80" s="82">
        <v>2.73</v>
      </c>
      <c r="DC80" s="82">
        <v>4.7284987046630347</v>
      </c>
      <c r="DD80" s="82">
        <v>3</v>
      </c>
      <c r="DE80" s="82">
        <v>3</v>
      </c>
      <c r="DF80" s="84" t="s">
        <v>1290</v>
      </c>
      <c r="DG80" s="84" t="s">
        <v>1289</v>
      </c>
      <c r="DH80" s="84" t="s">
        <v>572</v>
      </c>
      <c r="DI80" s="82">
        <v>9</v>
      </c>
      <c r="DJ80" s="82">
        <v>2.65</v>
      </c>
      <c r="DK80" s="82">
        <v>4.5899346400575247</v>
      </c>
      <c r="DL80" s="82">
        <v>3</v>
      </c>
      <c r="DM80" s="82">
        <v>3</v>
      </c>
      <c r="DN80" s="82" t="s">
        <v>1290</v>
      </c>
      <c r="DO80" s="84" t="s">
        <v>1288</v>
      </c>
      <c r="DP80" s="84" t="s">
        <v>80</v>
      </c>
      <c r="DQ80" s="82">
        <v>6</v>
      </c>
      <c r="DR80" s="82">
        <v>2.65</v>
      </c>
      <c r="DS80" s="82">
        <v>4.5899346400575247</v>
      </c>
      <c r="DT80" s="82">
        <v>3</v>
      </c>
      <c r="DU80" s="82">
        <v>3</v>
      </c>
      <c r="DV80" s="84" t="s">
        <v>1290</v>
      </c>
      <c r="DW80" s="84" t="s">
        <v>1288</v>
      </c>
      <c r="DX80" s="84" t="s">
        <v>1747</v>
      </c>
      <c r="DY80" s="86">
        <f t="shared" si="83"/>
        <v>-1.3000000000000007</v>
      </c>
      <c r="DZ80" s="86"/>
      <c r="EA80" s="86">
        <f t="shared" si="84"/>
        <v>5.2321123841140871</v>
      </c>
      <c r="EB80" s="86">
        <v>3</v>
      </c>
      <c r="EC80" s="86">
        <v>3</v>
      </c>
      <c r="ED80" s="84" t="s">
        <v>1743</v>
      </c>
      <c r="EE80" s="84" t="s">
        <v>1744</v>
      </c>
      <c r="EF80" s="84" t="s">
        <v>1746</v>
      </c>
      <c r="EG80" s="86">
        <f t="shared" si="85"/>
        <v>-0.70000000000000018</v>
      </c>
      <c r="EH80" s="86"/>
      <c r="EI80" s="86">
        <f t="shared" si="86"/>
        <v>6.5898558406083509</v>
      </c>
      <c r="EJ80" s="86">
        <v>3</v>
      </c>
      <c r="EK80" s="86">
        <v>3</v>
      </c>
      <c r="EL80" s="84" t="s">
        <v>1743</v>
      </c>
      <c r="EM80" s="84" t="s">
        <v>1745</v>
      </c>
      <c r="EN80" s="86">
        <f t="shared" si="87"/>
        <v>-1.3000000000000007</v>
      </c>
      <c r="EO80" s="86">
        <f t="shared" si="88"/>
        <v>5.2321123841140871</v>
      </c>
      <c r="EP80" s="86">
        <f t="shared" si="89"/>
        <v>3</v>
      </c>
      <c r="EQ80" s="86">
        <f t="shared" si="90"/>
        <v>3</v>
      </c>
      <c r="ER80" s="86">
        <f t="shared" si="91"/>
        <v>-0.70000000000000018</v>
      </c>
      <c r="ES80" s="86">
        <f t="shared" si="92"/>
        <v>6.5898558406083509</v>
      </c>
      <c r="ET80" s="86">
        <f t="shared" si="93"/>
        <v>3</v>
      </c>
      <c r="EU80" s="86">
        <f t="shared" si="94"/>
        <v>3</v>
      </c>
      <c r="EV80" s="86">
        <f t="shared" si="64"/>
        <v>5.9498403339921646</v>
      </c>
      <c r="EW80" s="86">
        <f t="shared" si="65"/>
        <v>-0.10084304221949071</v>
      </c>
      <c r="EX80" s="86">
        <f t="shared" si="66"/>
        <v>0.6675141099303401</v>
      </c>
      <c r="EY80" s="86">
        <f t="shared" si="67"/>
        <v>0.8</v>
      </c>
      <c r="EZ80" s="83">
        <f t="shared" si="68"/>
        <v>-8.067443377559258E-2</v>
      </c>
      <c r="FA80" s="83">
        <f t="shared" si="69"/>
        <v>0.42720903035541774</v>
      </c>
      <c r="FB80" s="83">
        <f t="shared" si="70"/>
        <v>6</v>
      </c>
      <c r="FC80" s="84" t="s">
        <v>385</v>
      </c>
    </row>
    <row r="81" spans="1:159" s="84" customFormat="1" ht="17.100000000000001" customHeight="1">
      <c r="A81" s="144" t="s">
        <v>1850</v>
      </c>
      <c r="B81" s="151" t="s">
        <v>1575</v>
      </c>
      <c r="C81" s="80" t="str">
        <f t="shared" si="71"/>
        <v>Hurteau, M., &amp; North, M. 2008.  Mixed-conifer understory response to climate change, nitrogen, and fire.. Global Change Biology. 14: 1543-1552.</v>
      </c>
      <c r="D81" s="91" t="s">
        <v>1519</v>
      </c>
      <c r="E81" s="91">
        <v>2008</v>
      </c>
      <c r="F81" s="107" t="s">
        <v>1551</v>
      </c>
      <c r="G81" s="107" t="s">
        <v>1109</v>
      </c>
      <c r="H81" s="151">
        <v>14</v>
      </c>
      <c r="I81" s="107" t="s">
        <v>1110</v>
      </c>
      <c r="J81" s="81"/>
      <c r="K81" s="160" t="s">
        <v>1111</v>
      </c>
      <c r="L81" s="84" t="s">
        <v>18</v>
      </c>
      <c r="M81" s="93" t="s">
        <v>1084</v>
      </c>
      <c r="N81" s="84" t="s">
        <v>389</v>
      </c>
      <c r="P81" s="151" t="s">
        <v>16</v>
      </c>
      <c r="Q81" s="151" t="s">
        <v>15</v>
      </c>
      <c r="R81" s="151"/>
      <c r="S81" s="151"/>
      <c r="T81" s="151" t="s">
        <v>1444</v>
      </c>
      <c r="U81" s="151" t="s">
        <v>1447</v>
      </c>
      <c r="V81" s="151">
        <v>37.42</v>
      </c>
      <c r="W81" s="104">
        <v>-119.28</v>
      </c>
      <c r="X81" s="91">
        <v>2100</v>
      </c>
      <c r="Y81" s="66" t="s">
        <v>1894</v>
      </c>
      <c r="Z81" s="66" t="s">
        <v>2201</v>
      </c>
      <c r="AA81" s="161" t="s">
        <v>49</v>
      </c>
      <c r="AB81" s="81" t="s">
        <v>64</v>
      </c>
      <c r="AC81" s="84" t="s">
        <v>235</v>
      </c>
      <c r="AF81" s="85" t="s">
        <v>105</v>
      </c>
      <c r="AG81" s="85" t="s">
        <v>92</v>
      </c>
      <c r="AH81" s="85" t="s">
        <v>156</v>
      </c>
      <c r="AI81" s="84" t="s">
        <v>93</v>
      </c>
      <c r="AJ81" s="115">
        <v>3</v>
      </c>
      <c r="AK81" s="115">
        <v>1</v>
      </c>
      <c r="AL81" s="115">
        <v>1</v>
      </c>
      <c r="AM81" s="85" t="s">
        <v>1113</v>
      </c>
      <c r="AN81" s="84" t="s">
        <v>1114</v>
      </c>
      <c r="AO81" s="84" t="s">
        <v>1114</v>
      </c>
      <c r="AP81" s="68" t="s">
        <v>2227</v>
      </c>
      <c r="AQ81" s="84" t="s">
        <v>88</v>
      </c>
      <c r="AR81" s="86">
        <v>1</v>
      </c>
      <c r="AS81" s="87" t="s">
        <v>439</v>
      </c>
      <c r="AT81" s="86"/>
      <c r="AU81" s="87"/>
      <c r="AV81" s="88">
        <v>1</v>
      </c>
      <c r="AW81" s="84" t="s">
        <v>1115</v>
      </c>
      <c r="AX81" s="85" t="s">
        <v>80</v>
      </c>
      <c r="AY81" s="86">
        <v>3</v>
      </c>
      <c r="AZ81" s="115">
        <v>1</v>
      </c>
      <c r="BA81" s="87" t="s">
        <v>439</v>
      </c>
      <c r="BB81" s="86"/>
      <c r="BD81" s="149" t="s">
        <v>124</v>
      </c>
      <c r="BE81" s="85" t="s">
        <v>182</v>
      </c>
      <c r="BF81" s="149" t="s">
        <v>387</v>
      </c>
      <c r="BG81" s="85" t="s">
        <v>21</v>
      </c>
      <c r="BH81" s="85" t="s">
        <v>81</v>
      </c>
      <c r="BI81" s="84" t="s">
        <v>1116</v>
      </c>
      <c r="BJ81" s="89">
        <f t="shared" si="82"/>
        <v>1</v>
      </c>
      <c r="BK81" s="84">
        <v>12</v>
      </c>
      <c r="BL81" s="84">
        <v>12</v>
      </c>
      <c r="BM81" s="88">
        <v>1</v>
      </c>
      <c r="BN81" s="84" t="s">
        <v>379</v>
      </c>
      <c r="BO81" s="84" t="s">
        <v>856</v>
      </c>
      <c r="BP81" s="163" t="s">
        <v>64</v>
      </c>
      <c r="BR81" s="84" t="s">
        <v>1120</v>
      </c>
      <c r="BS81" s="84" t="s">
        <v>679</v>
      </c>
      <c r="BU81" s="86"/>
      <c r="BV81" s="86"/>
      <c r="BW81" s="90"/>
      <c r="BX81" s="86"/>
      <c r="BY81" s="86"/>
      <c r="CC81" s="86"/>
      <c r="CD81" s="86"/>
      <c r="CE81" s="90"/>
      <c r="CF81" s="86"/>
      <c r="CG81" s="86"/>
      <c r="CK81" s="86"/>
      <c r="CL81" s="86"/>
      <c r="CM81" s="86"/>
      <c r="CN81" s="86"/>
      <c r="CO81" s="86"/>
      <c r="CR81" s="84" t="s">
        <v>572</v>
      </c>
      <c r="CS81" s="86">
        <v>2.2999999999999998</v>
      </c>
      <c r="CT81" s="86">
        <v>0.33</v>
      </c>
      <c r="CU81" s="114">
        <v>0.57157676649772948</v>
      </c>
      <c r="CV81" s="86">
        <v>3</v>
      </c>
      <c r="CW81" s="86">
        <v>3</v>
      </c>
      <c r="CX81" s="84" t="s">
        <v>1290</v>
      </c>
      <c r="CY81" s="84" t="s">
        <v>1288</v>
      </c>
      <c r="CZ81" s="84" t="s">
        <v>80</v>
      </c>
      <c r="DA81" s="82">
        <v>2.7</v>
      </c>
      <c r="DB81" s="82">
        <v>0.88</v>
      </c>
      <c r="DC81" s="82">
        <v>1.524204710660612</v>
      </c>
      <c r="DD81" s="82">
        <v>3</v>
      </c>
      <c r="DE81" s="82">
        <v>3</v>
      </c>
      <c r="DF81" s="84" t="s">
        <v>1290</v>
      </c>
      <c r="DG81" s="84" t="s">
        <v>1289</v>
      </c>
      <c r="DH81" s="84" t="s">
        <v>572</v>
      </c>
      <c r="DI81" s="82">
        <v>2.2999999999999998</v>
      </c>
      <c r="DJ81" s="82">
        <v>0.33</v>
      </c>
      <c r="DK81" s="82">
        <v>0.57157676649772948</v>
      </c>
      <c r="DL81" s="82">
        <v>3</v>
      </c>
      <c r="DM81" s="82">
        <v>3</v>
      </c>
      <c r="DN81" s="82" t="s">
        <v>1290</v>
      </c>
      <c r="DO81" s="84" t="s">
        <v>1288</v>
      </c>
      <c r="DP81" s="91" t="s">
        <v>80</v>
      </c>
      <c r="DQ81" s="96">
        <v>4</v>
      </c>
      <c r="DR81" s="96">
        <v>0.57999999999999996</v>
      </c>
      <c r="DS81" s="96">
        <v>1.0045894683899488</v>
      </c>
      <c r="DT81" s="96">
        <v>3</v>
      </c>
      <c r="DU81" s="96">
        <v>3</v>
      </c>
      <c r="DV81" s="91" t="s">
        <v>1290</v>
      </c>
      <c r="DW81" s="91" t="s">
        <v>1289</v>
      </c>
      <c r="DX81" s="84" t="s">
        <v>1747</v>
      </c>
      <c r="DY81" s="86">
        <f t="shared" si="83"/>
        <v>0</v>
      </c>
      <c r="DZ81" s="86"/>
      <c r="EA81" s="86">
        <f t="shared" si="84"/>
        <v>0.80833161511844875</v>
      </c>
      <c r="EB81" s="119">
        <v>3</v>
      </c>
      <c r="EC81" s="119">
        <v>3</v>
      </c>
      <c r="ED81" s="84" t="s">
        <v>1743</v>
      </c>
      <c r="EE81" s="84" t="s">
        <v>1744</v>
      </c>
      <c r="EF81" s="84" t="s">
        <v>1746</v>
      </c>
      <c r="EG81" s="86">
        <f t="shared" si="85"/>
        <v>1.2999999999999998</v>
      </c>
      <c r="EH81" s="86"/>
      <c r="EI81" s="86">
        <f t="shared" si="86"/>
        <v>1.825486236595609</v>
      </c>
      <c r="EJ81" s="119">
        <v>3</v>
      </c>
      <c r="EK81" s="119">
        <v>3</v>
      </c>
      <c r="EL81" s="84" t="s">
        <v>1743</v>
      </c>
      <c r="EM81" s="84" t="s">
        <v>1745</v>
      </c>
      <c r="EN81" s="86">
        <f t="shared" si="87"/>
        <v>0</v>
      </c>
      <c r="EO81" s="86">
        <f t="shared" si="88"/>
        <v>0.80833161511844875</v>
      </c>
      <c r="EP81" s="86">
        <f t="shared" si="89"/>
        <v>3</v>
      </c>
      <c r="EQ81" s="86">
        <f t="shared" si="90"/>
        <v>3</v>
      </c>
      <c r="ER81" s="86">
        <f t="shared" si="91"/>
        <v>1.2999999999999998</v>
      </c>
      <c r="ES81" s="86">
        <f t="shared" si="92"/>
        <v>1.825486236595609</v>
      </c>
      <c r="ET81" s="86">
        <f t="shared" si="93"/>
        <v>3</v>
      </c>
      <c r="EU81" s="86">
        <f t="shared" si="94"/>
        <v>3</v>
      </c>
      <c r="EV81" s="86">
        <f t="shared" si="64"/>
        <v>1.4117011015083893</v>
      </c>
      <c r="EW81" s="86">
        <f t="shared" si="65"/>
        <v>-0.92087482159712286</v>
      </c>
      <c r="EX81" s="86">
        <f t="shared" si="66"/>
        <v>0.73733420308762776</v>
      </c>
      <c r="EY81" s="86">
        <f t="shared" si="67"/>
        <v>0.8</v>
      </c>
      <c r="EZ81" s="83">
        <f t="shared" si="68"/>
        <v>-0.73669985727769838</v>
      </c>
      <c r="FA81" s="83">
        <f t="shared" si="69"/>
        <v>0.47189388997608184</v>
      </c>
      <c r="FB81" s="83">
        <f t="shared" si="70"/>
        <v>6</v>
      </c>
      <c r="FC81" s="84" t="s">
        <v>385</v>
      </c>
    </row>
    <row r="82" spans="1:159" s="84" customFormat="1" ht="17.100000000000001" customHeight="1">
      <c r="A82" s="144" t="s">
        <v>1850</v>
      </c>
      <c r="B82" s="151" t="s">
        <v>1575</v>
      </c>
      <c r="C82" s="80" t="str">
        <f t="shared" si="71"/>
        <v>Hurteau, M., &amp; North, M. 2008.  Mixed-conifer understory response to climate change, nitrogen, and fire.. Global Change Biology. 14: 1543-1552.</v>
      </c>
      <c r="D82" s="91" t="s">
        <v>1519</v>
      </c>
      <c r="E82" s="91">
        <v>2008</v>
      </c>
      <c r="F82" s="107" t="s">
        <v>1551</v>
      </c>
      <c r="G82" s="107" t="s">
        <v>1109</v>
      </c>
      <c r="H82" s="151">
        <v>14</v>
      </c>
      <c r="I82" s="107" t="s">
        <v>1110</v>
      </c>
      <c r="J82" s="81"/>
      <c r="K82" s="160" t="s">
        <v>1111</v>
      </c>
      <c r="L82" s="84" t="s">
        <v>18</v>
      </c>
      <c r="M82" s="93" t="s">
        <v>1084</v>
      </c>
      <c r="N82" s="84" t="s">
        <v>389</v>
      </c>
      <c r="P82" s="151" t="s">
        <v>16</v>
      </c>
      <c r="Q82" s="151" t="s">
        <v>15</v>
      </c>
      <c r="R82" s="151" t="s">
        <v>1119</v>
      </c>
      <c r="S82" s="151"/>
      <c r="T82" s="151" t="s">
        <v>1444</v>
      </c>
      <c r="U82" s="151" t="s">
        <v>1447</v>
      </c>
      <c r="V82" s="151">
        <v>37.42</v>
      </c>
      <c r="W82" s="104">
        <v>-119.28</v>
      </c>
      <c r="X82" s="91">
        <v>2100</v>
      </c>
      <c r="Y82" s="66" t="s">
        <v>1894</v>
      </c>
      <c r="Z82" s="66" t="s">
        <v>2201</v>
      </c>
      <c r="AA82" s="161" t="s">
        <v>49</v>
      </c>
      <c r="AB82" s="81" t="s">
        <v>64</v>
      </c>
      <c r="AC82" s="84" t="s">
        <v>235</v>
      </c>
      <c r="AF82" s="85" t="s">
        <v>105</v>
      </c>
      <c r="AG82" s="85" t="s">
        <v>92</v>
      </c>
      <c r="AH82" s="85" t="s">
        <v>156</v>
      </c>
      <c r="AI82" s="84" t="s">
        <v>93</v>
      </c>
      <c r="AJ82" s="115">
        <v>3</v>
      </c>
      <c r="AK82" s="115">
        <v>1</v>
      </c>
      <c r="AL82" s="115">
        <v>1</v>
      </c>
      <c r="AM82" s="85" t="s">
        <v>1113</v>
      </c>
      <c r="AN82" s="84" t="s">
        <v>1114</v>
      </c>
      <c r="AO82" s="84" t="s">
        <v>1114</v>
      </c>
      <c r="AP82" s="68" t="s">
        <v>2227</v>
      </c>
      <c r="AQ82" s="84" t="s">
        <v>88</v>
      </c>
      <c r="AR82" s="86">
        <v>1</v>
      </c>
      <c r="AS82" s="87" t="s">
        <v>439</v>
      </c>
      <c r="AT82" s="86"/>
      <c r="AU82" s="87"/>
      <c r="AV82" s="88">
        <v>1</v>
      </c>
      <c r="AW82" s="84" t="s">
        <v>1115</v>
      </c>
      <c r="AX82" s="85" t="s">
        <v>80</v>
      </c>
      <c r="AY82" s="86">
        <v>3</v>
      </c>
      <c r="AZ82" s="115">
        <v>1</v>
      </c>
      <c r="BA82" s="87" t="s">
        <v>439</v>
      </c>
      <c r="BB82" s="86"/>
      <c r="BD82" s="149" t="s">
        <v>124</v>
      </c>
      <c r="BE82" s="85" t="s">
        <v>182</v>
      </c>
      <c r="BF82" s="149" t="s">
        <v>2109</v>
      </c>
      <c r="BG82" s="85" t="s">
        <v>21</v>
      </c>
      <c r="BH82" s="85" t="s">
        <v>81</v>
      </c>
      <c r="BI82" s="84" t="s">
        <v>1116</v>
      </c>
      <c r="BJ82" s="89">
        <f t="shared" si="82"/>
        <v>1</v>
      </c>
      <c r="BK82" s="84">
        <v>12</v>
      </c>
      <c r="BL82" s="84">
        <v>12</v>
      </c>
      <c r="BM82" s="88">
        <v>1</v>
      </c>
      <c r="BN82" s="84" t="s">
        <v>379</v>
      </c>
      <c r="BO82" s="84" t="s">
        <v>856</v>
      </c>
      <c r="BP82" s="163" t="s">
        <v>64</v>
      </c>
      <c r="BR82" s="84" t="s">
        <v>2120</v>
      </c>
      <c r="BS82" s="81" t="s">
        <v>2159</v>
      </c>
      <c r="BU82" s="86"/>
      <c r="BV82" s="86"/>
      <c r="BW82" s="90"/>
      <c r="BX82" s="86"/>
      <c r="BY82" s="86"/>
      <c r="CC82" s="86"/>
      <c r="CD82" s="86"/>
      <c r="CE82" s="90"/>
      <c r="CF82" s="86"/>
      <c r="CG82" s="86"/>
      <c r="CK82" s="86"/>
      <c r="CL82" s="86"/>
      <c r="CM82" s="86"/>
      <c r="CN82" s="86"/>
      <c r="CO82" s="86"/>
      <c r="CR82" s="84" t="s">
        <v>572</v>
      </c>
      <c r="CS82" s="86">
        <v>12.600000000000001</v>
      </c>
      <c r="CT82" s="86"/>
      <c r="CU82" s="114">
        <v>2.5756940812138382</v>
      </c>
      <c r="CV82" s="86">
        <v>3</v>
      </c>
      <c r="CW82" s="86">
        <v>3</v>
      </c>
      <c r="CX82" s="84" t="s">
        <v>2121</v>
      </c>
      <c r="CY82" s="84" t="s">
        <v>1288</v>
      </c>
      <c r="CZ82" s="84" t="s">
        <v>80</v>
      </c>
      <c r="DA82" s="82">
        <v>9.4</v>
      </c>
      <c r="DB82" s="82"/>
      <c r="DC82" s="82">
        <v>4.9680881634689209</v>
      </c>
      <c r="DD82" s="82">
        <v>3</v>
      </c>
      <c r="DE82" s="82">
        <v>3</v>
      </c>
      <c r="DF82" s="84" t="s">
        <v>2121</v>
      </c>
      <c r="DG82" s="84" t="s">
        <v>1289</v>
      </c>
      <c r="DH82" s="84" t="s">
        <v>572</v>
      </c>
      <c r="DI82" s="82">
        <v>11.3</v>
      </c>
      <c r="DJ82" s="82"/>
      <c r="DK82" s="82">
        <v>4.6253864703395324</v>
      </c>
      <c r="DL82" s="82">
        <v>3</v>
      </c>
      <c r="DM82" s="82">
        <v>3</v>
      </c>
      <c r="DN82" s="84" t="s">
        <v>2121</v>
      </c>
      <c r="DO82" s="84" t="s">
        <v>1288</v>
      </c>
      <c r="DP82" s="91" t="s">
        <v>80</v>
      </c>
      <c r="DQ82" s="96">
        <v>10</v>
      </c>
      <c r="DR82" s="96"/>
      <c r="DS82" s="96">
        <v>4.6985848933482091</v>
      </c>
      <c r="DT82" s="96">
        <v>3</v>
      </c>
      <c r="DU82" s="96">
        <v>3</v>
      </c>
      <c r="DV82" s="84" t="s">
        <v>2121</v>
      </c>
      <c r="DW82" s="91" t="s">
        <v>1289</v>
      </c>
      <c r="DX82" s="84" t="s">
        <v>1747</v>
      </c>
      <c r="DY82" s="86">
        <f t="shared" si="83"/>
        <v>-1.3000000000000007</v>
      </c>
      <c r="DZ82" s="86"/>
      <c r="EA82" s="86">
        <f t="shared" si="84"/>
        <v>5.2941854897613849</v>
      </c>
      <c r="EB82" s="119">
        <v>3</v>
      </c>
      <c r="EC82" s="119">
        <v>3</v>
      </c>
      <c r="ED82" s="84" t="s">
        <v>1743</v>
      </c>
      <c r="EE82" s="84" t="s">
        <v>1744</v>
      </c>
      <c r="EF82" s="84" t="s">
        <v>1746</v>
      </c>
      <c r="EG82" s="86">
        <f t="shared" si="85"/>
        <v>0.59999999999999964</v>
      </c>
      <c r="EH82" s="86"/>
      <c r="EI82" s="86">
        <f t="shared" si="86"/>
        <v>6.83802603095367</v>
      </c>
      <c r="EJ82" s="119">
        <v>3</v>
      </c>
      <c r="EK82" s="119">
        <v>3</v>
      </c>
      <c r="EL82" s="84" t="s">
        <v>1743</v>
      </c>
      <c r="EM82" s="84" t="s">
        <v>1745</v>
      </c>
      <c r="EN82" s="86">
        <f t="shared" si="87"/>
        <v>-1.3000000000000007</v>
      </c>
      <c r="EO82" s="86">
        <f t="shared" si="88"/>
        <v>5.2941854897613849</v>
      </c>
      <c r="EP82" s="86">
        <f t="shared" si="89"/>
        <v>3</v>
      </c>
      <c r="EQ82" s="86">
        <f t="shared" si="90"/>
        <v>3</v>
      </c>
      <c r="ER82" s="86">
        <f t="shared" si="91"/>
        <v>0.59999999999999964</v>
      </c>
      <c r="ES82" s="86">
        <f t="shared" si="92"/>
        <v>6.83802603095367</v>
      </c>
      <c r="ET82" s="86">
        <f t="shared" si="93"/>
        <v>3</v>
      </c>
      <c r="EU82" s="86">
        <f t="shared" si="94"/>
        <v>3</v>
      </c>
      <c r="EV82" s="86">
        <f t="shared" si="64"/>
        <v>6.1150224856495825</v>
      </c>
      <c r="EW82" s="86">
        <f t="shared" si="65"/>
        <v>-0.31071022297282175</v>
      </c>
      <c r="EX82" s="86">
        <f t="shared" si="66"/>
        <v>0.67471173688831831</v>
      </c>
      <c r="EY82" s="86">
        <f t="shared" si="67"/>
        <v>0.8</v>
      </c>
      <c r="EZ82" s="83">
        <f t="shared" si="68"/>
        <v>-0.2485681783782574</v>
      </c>
      <c r="FA82" s="83">
        <f t="shared" si="69"/>
        <v>0.43181551160852383</v>
      </c>
      <c r="FB82" s="83">
        <f t="shared" si="70"/>
        <v>6</v>
      </c>
      <c r="FC82" s="84" t="s">
        <v>385</v>
      </c>
    </row>
    <row r="83" spans="1:159" s="84" customFormat="1" ht="17.100000000000001" customHeight="1">
      <c r="A83" s="144" t="s">
        <v>1851</v>
      </c>
      <c r="B83" s="151" t="s">
        <v>1576</v>
      </c>
      <c r="C83" s="80" t="str">
        <f t="shared" si="71"/>
        <v>Hurteau, M., &amp; North, M. 2008.  Mixed-conifer understory response to climate change, nitrogen, and fire.. Global Change Biology. 14: 1543-1552.</v>
      </c>
      <c r="D83" s="91" t="s">
        <v>1519</v>
      </c>
      <c r="E83" s="91">
        <v>2008</v>
      </c>
      <c r="F83" s="107" t="s">
        <v>1551</v>
      </c>
      <c r="G83" s="107" t="s">
        <v>1109</v>
      </c>
      <c r="H83" s="151">
        <v>14</v>
      </c>
      <c r="I83" s="107" t="s">
        <v>1110</v>
      </c>
      <c r="J83" s="81"/>
      <c r="K83" s="160" t="s">
        <v>1111</v>
      </c>
      <c r="L83" s="84" t="s">
        <v>18</v>
      </c>
      <c r="M83" s="93" t="s">
        <v>1084</v>
      </c>
      <c r="N83" s="84" t="s">
        <v>389</v>
      </c>
      <c r="P83" s="151" t="s">
        <v>16</v>
      </c>
      <c r="Q83" s="151" t="s">
        <v>15</v>
      </c>
      <c r="R83" s="151" t="s">
        <v>1118</v>
      </c>
      <c r="S83" s="151"/>
      <c r="T83" s="151" t="s">
        <v>1444</v>
      </c>
      <c r="U83" s="151" t="s">
        <v>1447</v>
      </c>
      <c r="V83" s="151">
        <v>37.42</v>
      </c>
      <c r="W83" s="104">
        <v>-119.28</v>
      </c>
      <c r="X83" s="91">
        <v>2100</v>
      </c>
      <c r="Y83" s="66" t="s">
        <v>1894</v>
      </c>
      <c r="Z83" s="66" t="s">
        <v>2201</v>
      </c>
      <c r="AA83" s="161" t="s">
        <v>49</v>
      </c>
      <c r="AB83" s="81" t="s">
        <v>64</v>
      </c>
      <c r="AC83" s="84" t="s">
        <v>235</v>
      </c>
      <c r="AF83" s="85" t="s">
        <v>105</v>
      </c>
      <c r="AG83" s="85" t="s">
        <v>92</v>
      </c>
      <c r="AH83" s="85" t="s">
        <v>156</v>
      </c>
      <c r="AI83" s="84" t="s">
        <v>93</v>
      </c>
      <c r="AJ83" s="115">
        <v>3</v>
      </c>
      <c r="AK83" s="115">
        <v>1</v>
      </c>
      <c r="AL83" s="115">
        <v>1</v>
      </c>
      <c r="AM83" s="85" t="s">
        <v>1113</v>
      </c>
      <c r="AN83" s="84" t="s">
        <v>1114</v>
      </c>
      <c r="AO83" s="84" t="s">
        <v>1114</v>
      </c>
      <c r="AP83" s="68" t="s">
        <v>2227</v>
      </c>
      <c r="AQ83" s="84" t="s">
        <v>88</v>
      </c>
      <c r="AR83" s="86">
        <v>1</v>
      </c>
      <c r="AS83" s="87" t="s">
        <v>439</v>
      </c>
      <c r="AT83" s="86"/>
      <c r="AU83" s="87"/>
      <c r="AV83" s="88">
        <v>1</v>
      </c>
      <c r="AW83" s="84" t="s">
        <v>1121</v>
      </c>
      <c r="AX83" s="85" t="s">
        <v>80</v>
      </c>
      <c r="AY83" s="86">
        <v>3</v>
      </c>
      <c r="AZ83" s="115">
        <v>1</v>
      </c>
      <c r="BA83" s="87" t="s">
        <v>439</v>
      </c>
      <c r="BB83" s="86"/>
      <c r="BD83" s="149" t="s">
        <v>124</v>
      </c>
      <c r="BE83" s="85" t="s">
        <v>182</v>
      </c>
      <c r="BF83" s="149" t="s">
        <v>386</v>
      </c>
      <c r="BG83" s="85" t="s">
        <v>21</v>
      </c>
      <c r="BH83" s="85" t="s">
        <v>81</v>
      </c>
      <c r="BI83" s="84" t="s">
        <v>1116</v>
      </c>
      <c r="BJ83" s="89">
        <f t="shared" si="82"/>
        <v>1</v>
      </c>
      <c r="BK83" s="84">
        <v>12</v>
      </c>
      <c r="BL83" s="84">
        <v>12</v>
      </c>
      <c r="BM83" s="88">
        <v>1</v>
      </c>
      <c r="BN83" s="84" t="s">
        <v>379</v>
      </c>
      <c r="BO83" s="84" t="s">
        <v>856</v>
      </c>
      <c r="BP83" s="163" t="s">
        <v>64</v>
      </c>
      <c r="BR83" s="84" t="s">
        <v>1117</v>
      </c>
      <c r="BS83" s="84" t="s">
        <v>2125</v>
      </c>
      <c r="BU83" s="86"/>
      <c r="BV83" s="86"/>
      <c r="BW83" s="90"/>
      <c r="BX83" s="86"/>
      <c r="BY83" s="86"/>
      <c r="CC83" s="86"/>
      <c r="CD83" s="86"/>
      <c r="CE83" s="90"/>
      <c r="CF83" s="86"/>
      <c r="CG83" s="86"/>
      <c r="CK83" s="86"/>
      <c r="CL83" s="86"/>
      <c r="CM83" s="86"/>
      <c r="CN83" s="86"/>
      <c r="CO83" s="86"/>
      <c r="CR83" s="84" t="s">
        <v>572</v>
      </c>
      <c r="CS83" s="86">
        <v>10</v>
      </c>
      <c r="CT83" s="86">
        <v>1.53</v>
      </c>
      <c r="CU83" s="86">
        <v>2.6500377355803821</v>
      </c>
      <c r="CV83" s="86">
        <v>3</v>
      </c>
      <c r="CW83" s="86">
        <v>3</v>
      </c>
      <c r="CX83" s="84" t="s">
        <v>1290</v>
      </c>
      <c r="CY83" s="84" t="s">
        <v>1289</v>
      </c>
      <c r="CZ83" s="84" t="s">
        <v>80</v>
      </c>
      <c r="DA83" s="82">
        <v>10</v>
      </c>
      <c r="DB83" s="82">
        <v>2</v>
      </c>
      <c r="DC83" s="82">
        <v>3.4641016151377544</v>
      </c>
      <c r="DD83" s="82">
        <v>3</v>
      </c>
      <c r="DE83" s="82">
        <v>3</v>
      </c>
      <c r="DF83" s="84" t="s">
        <v>1290</v>
      </c>
      <c r="DG83" s="84" t="s">
        <v>1289</v>
      </c>
      <c r="DH83" s="84" t="s">
        <v>572</v>
      </c>
      <c r="DI83" s="82">
        <v>8</v>
      </c>
      <c r="DJ83" s="82">
        <v>3.06</v>
      </c>
      <c r="DK83" s="82">
        <v>5.3000754711607643</v>
      </c>
      <c r="DL83" s="82">
        <v>3</v>
      </c>
      <c r="DM83" s="82">
        <v>3</v>
      </c>
      <c r="DN83" s="84" t="s">
        <v>1290</v>
      </c>
      <c r="DO83" s="84" t="s">
        <v>1288</v>
      </c>
      <c r="DP83" s="84" t="s">
        <v>80</v>
      </c>
      <c r="DQ83" s="82">
        <v>11.3</v>
      </c>
      <c r="DR83" s="82">
        <v>2.33</v>
      </c>
      <c r="DS83" s="82">
        <v>4.035678381635484</v>
      </c>
      <c r="DT83" s="82">
        <v>3</v>
      </c>
      <c r="DU83" s="82">
        <v>3</v>
      </c>
      <c r="DV83" s="84" t="s">
        <v>1290</v>
      </c>
      <c r="DW83" s="84" t="s">
        <v>1288</v>
      </c>
      <c r="DX83" s="84" t="s">
        <v>1747</v>
      </c>
      <c r="DY83" s="86">
        <f t="shared" si="83"/>
        <v>-2</v>
      </c>
      <c r="DZ83" s="86"/>
      <c r="EA83" s="86">
        <f t="shared" si="84"/>
        <v>5.9256645196973476</v>
      </c>
      <c r="EB83" s="86">
        <v>3</v>
      </c>
      <c r="EC83" s="86">
        <v>3</v>
      </c>
      <c r="ED83" s="84" t="s">
        <v>1743</v>
      </c>
      <c r="EE83" s="84" t="s">
        <v>1744</v>
      </c>
      <c r="EF83" s="84" t="s">
        <v>1746</v>
      </c>
      <c r="EG83" s="86">
        <f t="shared" si="85"/>
        <v>1.3000000000000007</v>
      </c>
      <c r="EH83" s="86"/>
      <c r="EI83" s="86">
        <f t="shared" si="86"/>
        <v>5.318524231401037</v>
      </c>
      <c r="EJ83" s="86">
        <v>3</v>
      </c>
      <c r="EK83" s="86">
        <v>3</v>
      </c>
      <c r="EL83" s="84" t="s">
        <v>1743</v>
      </c>
      <c r="EM83" s="84" t="s">
        <v>1745</v>
      </c>
      <c r="EN83" s="86">
        <f t="shared" si="87"/>
        <v>-2</v>
      </c>
      <c r="EO83" s="86">
        <f t="shared" si="88"/>
        <v>5.9256645196973476</v>
      </c>
      <c r="EP83" s="86">
        <f t="shared" si="89"/>
        <v>3</v>
      </c>
      <c r="EQ83" s="86">
        <f t="shared" si="90"/>
        <v>3</v>
      </c>
      <c r="ER83" s="86">
        <f t="shared" si="91"/>
        <v>1.3000000000000007</v>
      </c>
      <c r="ES83" s="86">
        <f t="shared" si="92"/>
        <v>5.318524231401037</v>
      </c>
      <c r="ET83" s="86">
        <f t="shared" si="93"/>
        <v>3</v>
      </c>
      <c r="EU83" s="86">
        <f t="shared" si="94"/>
        <v>3</v>
      </c>
      <c r="EV83" s="86">
        <f t="shared" si="64"/>
        <v>5.6302841846571114</v>
      </c>
      <c r="EW83" s="86">
        <f t="shared" si="65"/>
        <v>-0.5861160630208887</v>
      </c>
      <c r="EX83" s="86">
        <f t="shared" si="66"/>
        <v>0.69529433661092555</v>
      </c>
      <c r="EY83" s="86">
        <f t="shared" si="67"/>
        <v>0.8</v>
      </c>
      <c r="EZ83" s="83">
        <f t="shared" si="68"/>
        <v>-0.46889285041671097</v>
      </c>
      <c r="FA83" s="83">
        <f t="shared" si="69"/>
        <v>0.44498837543099246</v>
      </c>
      <c r="FB83" s="83">
        <f t="shared" si="70"/>
        <v>6</v>
      </c>
      <c r="FC83" s="84" t="s">
        <v>385</v>
      </c>
    </row>
    <row r="84" spans="1:159" s="84" customFormat="1" ht="17.100000000000001" customHeight="1">
      <c r="A84" s="144" t="s">
        <v>1851</v>
      </c>
      <c r="B84" s="151" t="s">
        <v>1576</v>
      </c>
      <c r="C84" s="80" t="str">
        <f t="shared" si="71"/>
        <v>Hurteau, M., &amp; North, M. 2008.  Mixed-conifer understory response to climate change, nitrogen, and fire.. Global Change Biology. 14: 1543-1552.</v>
      </c>
      <c r="D84" s="91" t="s">
        <v>1519</v>
      </c>
      <c r="E84" s="91">
        <v>2008</v>
      </c>
      <c r="F84" s="107" t="s">
        <v>1551</v>
      </c>
      <c r="G84" s="107" t="s">
        <v>1109</v>
      </c>
      <c r="H84" s="151">
        <v>14</v>
      </c>
      <c r="I84" s="107" t="s">
        <v>1110</v>
      </c>
      <c r="J84" s="81"/>
      <c r="K84" s="160" t="s">
        <v>1111</v>
      </c>
      <c r="L84" s="84" t="s">
        <v>18</v>
      </c>
      <c r="M84" s="93" t="s">
        <v>1084</v>
      </c>
      <c r="N84" s="84" t="s">
        <v>389</v>
      </c>
      <c r="P84" s="151" t="s">
        <v>16</v>
      </c>
      <c r="Q84" s="151" t="s">
        <v>15</v>
      </c>
      <c r="R84" s="151" t="s">
        <v>1118</v>
      </c>
      <c r="S84" s="151"/>
      <c r="T84" s="151" t="s">
        <v>1444</v>
      </c>
      <c r="U84" s="151" t="s">
        <v>1447</v>
      </c>
      <c r="V84" s="151">
        <v>37.42</v>
      </c>
      <c r="W84" s="104">
        <v>-119.28</v>
      </c>
      <c r="X84" s="91">
        <v>2100</v>
      </c>
      <c r="Y84" s="66" t="s">
        <v>1894</v>
      </c>
      <c r="Z84" s="66" t="s">
        <v>2201</v>
      </c>
      <c r="AA84" s="161" t="s">
        <v>49</v>
      </c>
      <c r="AB84" s="81" t="s">
        <v>64</v>
      </c>
      <c r="AC84" s="84" t="s">
        <v>235</v>
      </c>
      <c r="AF84" s="85" t="s">
        <v>105</v>
      </c>
      <c r="AG84" s="85" t="s">
        <v>92</v>
      </c>
      <c r="AH84" s="85" t="s">
        <v>156</v>
      </c>
      <c r="AI84" s="84" t="s">
        <v>93</v>
      </c>
      <c r="AJ84" s="115">
        <v>3</v>
      </c>
      <c r="AK84" s="115">
        <v>1</v>
      </c>
      <c r="AL84" s="115">
        <v>1</v>
      </c>
      <c r="AM84" s="85" t="s">
        <v>1113</v>
      </c>
      <c r="AN84" s="84" t="s">
        <v>1114</v>
      </c>
      <c r="AO84" s="84" t="s">
        <v>1114</v>
      </c>
      <c r="AP84" s="68" t="s">
        <v>2227</v>
      </c>
      <c r="AQ84" s="84" t="s">
        <v>88</v>
      </c>
      <c r="AR84" s="86">
        <v>3</v>
      </c>
      <c r="AS84" s="87" t="s">
        <v>439</v>
      </c>
      <c r="AT84" s="86"/>
      <c r="AU84" s="87"/>
      <c r="AV84" s="88">
        <v>1</v>
      </c>
      <c r="AW84" s="84" t="s">
        <v>1121</v>
      </c>
      <c r="AX84" s="85" t="s">
        <v>80</v>
      </c>
      <c r="AY84" s="86">
        <v>3</v>
      </c>
      <c r="AZ84" s="115">
        <v>3</v>
      </c>
      <c r="BA84" s="87" t="s">
        <v>439</v>
      </c>
      <c r="BB84" s="86"/>
      <c r="BC84" s="84" t="s">
        <v>1121</v>
      </c>
      <c r="BD84" s="149" t="s">
        <v>124</v>
      </c>
      <c r="BE84" s="85" t="s">
        <v>182</v>
      </c>
      <c r="BF84" s="162" t="s">
        <v>387</v>
      </c>
      <c r="BG84" s="85" t="s">
        <v>21</v>
      </c>
      <c r="BH84" s="85" t="s">
        <v>81</v>
      </c>
      <c r="BI84" s="84" t="s">
        <v>1116</v>
      </c>
      <c r="BJ84" s="89">
        <f t="shared" si="82"/>
        <v>1</v>
      </c>
      <c r="BK84" s="84">
        <v>12</v>
      </c>
      <c r="BL84" s="84">
        <v>12</v>
      </c>
      <c r="BM84" s="88">
        <v>1</v>
      </c>
      <c r="BN84" s="84" t="s">
        <v>379</v>
      </c>
      <c r="BO84" s="84" t="s">
        <v>856</v>
      </c>
      <c r="BP84" s="163" t="s">
        <v>64</v>
      </c>
      <c r="BR84" s="84" t="s">
        <v>1120</v>
      </c>
      <c r="BS84" s="84" t="s">
        <v>679</v>
      </c>
      <c r="BU84" s="86"/>
      <c r="BV84" s="86"/>
      <c r="BW84" s="90"/>
      <c r="BX84" s="86"/>
      <c r="BY84" s="86"/>
      <c r="CC84" s="86"/>
      <c r="CD84" s="86"/>
      <c r="CE84" s="90"/>
      <c r="CF84" s="86"/>
      <c r="CG84" s="86"/>
      <c r="CK84" s="86"/>
      <c r="CL84" s="86"/>
      <c r="CM84" s="86"/>
      <c r="CN84" s="86"/>
      <c r="CO84" s="86"/>
      <c r="CR84" s="84" t="s">
        <v>572</v>
      </c>
      <c r="CS84" s="86">
        <v>3</v>
      </c>
      <c r="CT84" s="86">
        <v>0.57999999999999996</v>
      </c>
      <c r="CU84" s="86">
        <v>1.0045894683899488</v>
      </c>
      <c r="CV84" s="86">
        <v>3</v>
      </c>
      <c r="CW84" s="86">
        <v>3</v>
      </c>
      <c r="CX84" s="84" t="s">
        <v>1290</v>
      </c>
      <c r="CY84" s="84" t="s">
        <v>1288</v>
      </c>
      <c r="CZ84" s="84" t="s">
        <v>80</v>
      </c>
      <c r="DA84" s="82">
        <v>1.7</v>
      </c>
      <c r="DB84" s="82">
        <v>0.67</v>
      </c>
      <c r="DC84" s="82">
        <v>1.1604740410711478</v>
      </c>
      <c r="DD84" s="82">
        <v>3</v>
      </c>
      <c r="DE84" s="82">
        <v>3</v>
      </c>
      <c r="DF84" s="84" t="s">
        <v>1290</v>
      </c>
      <c r="DG84" s="84" t="s">
        <v>1289</v>
      </c>
      <c r="DH84" s="84" t="s">
        <v>572</v>
      </c>
      <c r="DI84" s="82">
        <v>3.3</v>
      </c>
      <c r="DJ84" s="82">
        <v>0.67</v>
      </c>
      <c r="DK84" s="82">
        <v>1.1604740410711478</v>
      </c>
      <c r="DL84" s="82">
        <v>3</v>
      </c>
      <c r="DM84" s="82">
        <v>3</v>
      </c>
      <c r="DN84" s="84" t="s">
        <v>1290</v>
      </c>
      <c r="DO84" s="84" t="s">
        <v>1288</v>
      </c>
      <c r="DP84" s="91" t="s">
        <v>80</v>
      </c>
      <c r="DQ84" s="96">
        <v>2.2999999999999998</v>
      </c>
      <c r="DR84" s="96">
        <v>0.88</v>
      </c>
      <c r="DS84" s="96">
        <v>1.524204710660612</v>
      </c>
      <c r="DT84" s="96">
        <v>3</v>
      </c>
      <c r="DU84" s="96">
        <v>3</v>
      </c>
      <c r="DV84" s="84" t="s">
        <v>1290</v>
      </c>
      <c r="DW84" s="91" t="s">
        <v>1289</v>
      </c>
      <c r="DX84" s="84" t="s">
        <v>1747</v>
      </c>
      <c r="DY84" s="86">
        <f t="shared" si="83"/>
        <v>0.29999999999999982</v>
      </c>
      <c r="DZ84" s="86"/>
      <c r="EA84" s="86">
        <f t="shared" si="84"/>
        <v>1.5348941331570722</v>
      </c>
      <c r="EB84" s="119">
        <v>3</v>
      </c>
      <c r="EC84" s="119">
        <v>3</v>
      </c>
      <c r="ED84" s="84" t="s">
        <v>1743</v>
      </c>
      <c r="EE84" s="84" t="s">
        <v>1744</v>
      </c>
      <c r="EF84" s="84" t="s">
        <v>1746</v>
      </c>
      <c r="EG84" s="86">
        <f t="shared" si="85"/>
        <v>0.59999999999999987</v>
      </c>
      <c r="EH84" s="86"/>
      <c r="EI84" s="86">
        <f t="shared" si="86"/>
        <v>1.9156983061014592</v>
      </c>
      <c r="EJ84" s="119">
        <v>3</v>
      </c>
      <c r="EK84" s="119">
        <v>3</v>
      </c>
      <c r="EL84" s="84" t="s">
        <v>1743</v>
      </c>
      <c r="EM84" s="84" t="s">
        <v>1745</v>
      </c>
      <c r="EN84" s="86">
        <f t="shared" si="87"/>
        <v>0.29999999999999982</v>
      </c>
      <c r="EO84" s="86">
        <f t="shared" si="88"/>
        <v>1.5348941331570722</v>
      </c>
      <c r="EP84" s="86">
        <f t="shared" si="89"/>
        <v>3</v>
      </c>
      <c r="EQ84" s="86">
        <f t="shared" si="90"/>
        <v>3</v>
      </c>
      <c r="ER84" s="86">
        <f t="shared" si="91"/>
        <v>0.59999999999999987</v>
      </c>
      <c r="ES84" s="86">
        <f t="shared" si="92"/>
        <v>1.9156983061014592</v>
      </c>
      <c r="ET84" s="86">
        <f t="shared" si="93"/>
        <v>3</v>
      </c>
      <c r="EU84" s="86">
        <f t="shared" si="94"/>
        <v>3</v>
      </c>
      <c r="EV84" s="86">
        <f t="shared" si="64"/>
        <v>1.735770722186545</v>
      </c>
      <c r="EW84" s="86">
        <f t="shared" si="65"/>
        <v>-0.1728338865066758</v>
      </c>
      <c r="EX84" s="86">
        <f t="shared" si="66"/>
        <v>0.66915596269375022</v>
      </c>
      <c r="EY84" s="86">
        <f t="shared" si="67"/>
        <v>0.8</v>
      </c>
      <c r="EZ84" s="83">
        <f t="shared" si="68"/>
        <v>-0.13826710920534066</v>
      </c>
      <c r="FA84" s="83">
        <f t="shared" si="69"/>
        <v>0.42825981612400021</v>
      </c>
      <c r="FB84" s="83">
        <f t="shared" si="70"/>
        <v>6</v>
      </c>
      <c r="FC84" s="84" t="s">
        <v>385</v>
      </c>
    </row>
    <row r="85" spans="1:159" s="84" customFormat="1" ht="17.100000000000001" customHeight="1">
      <c r="A85" s="144" t="s">
        <v>1851</v>
      </c>
      <c r="B85" s="151" t="s">
        <v>1576</v>
      </c>
      <c r="C85" s="80" t="str">
        <f t="shared" si="71"/>
        <v>Hurteau, M., &amp; North, M. 2008.  Mixed-conifer understory response to climate change, nitrogen, and fire.. Global Change Biology. 14: 1543-1552.</v>
      </c>
      <c r="D85" s="91" t="s">
        <v>1519</v>
      </c>
      <c r="E85" s="91">
        <v>2008</v>
      </c>
      <c r="F85" s="107" t="s">
        <v>1551</v>
      </c>
      <c r="G85" s="107" t="s">
        <v>1109</v>
      </c>
      <c r="H85" s="151">
        <v>14</v>
      </c>
      <c r="I85" s="107" t="s">
        <v>1110</v>
      </c>
      <c r="J85" s="81"/>
      <c r="K85" s="160" t="s">
        <v>1111</v>
      </c>
      <c r="L85" s="84" t="s">
        <v>18</v>
      </c>
      <c r="M85" s="93" t="s">
        <v>1084</v>
      </c>
      <c r="N85" s="84" t="s">
        <v>389</v>
      </c>
      <c r="P85" s="151" t="s">
        <v>16</v>
      </c>
      <c r="Q85" s="151" t="s">
        <v>15</v>
      </c>
      <c r="R85" s="151" t="s">
        <v>1118</v>
      </c>
      <c r="S85" s="151"/>
      <c r="T85" s="151" t="s">
        <v>1444</v>
      </c>
      <c r="U85" s="151" t="s">
        <v>1447</v>
      </c>
      <c r="V85" s="151">
        <v>37.42</v>
      </c>
      <c r="W85" s="104">
        <v>-119.28</v>
      </c>
      <c r="X85" s="91">
        <v>2100</v>
      </c>
      <c r="Y85" s="66" t="s">
        <v>1894</v>
      </c>
      <c r="Z85" s="66" t="s">
        <v>2201</v>
      </c>
      <c r="AA85" s="161" t="s">
        <v>49</v>
      </c>
      <c r="AB85" s="81" t="s">
        <v>64</v>
      </c>
      <c r="AC85" s="84" t="s">
        <v>235</v>
      </c>
      <c r="AF85" s="85" t="s">
        <v>105</v>
      </c>
      <c r="AG85" s="85" t="s">
        <v>92</v>
      </c>
      <c r="AH85" s="85" t="s">
        <v>156</v>
      </c>
      <c r="AI85" s="84" t="s">
        <v>93</v>
      </c>
      <c r="AJ85" s="115">
        <v>3</v>
      </c>
      <c r="AK85" s="115">
        <v>1</v>
      </c>
      <c r="AL85" s="115">
        <v>1</v>
      </c>
      <c r="AM85" s="85" t="s">
        <v>1113</v>
      </c>
      <c r="AN85" s="84" t="s">
        <v>1114</v>
      </c>
      <c r="AO85" s="84" t="s">
        <v>1114</v>
      </c>
      <c r="AP85" s="68" t="s">
        <v>2227</v>
      </c>
      <c r="AQ85" s="84" t="s">
        <v>88</v>
      </c>
      <c r="AR85" s="86">
        <v>3</v>
      </c>
      <c r="AS85" s="87" t="s">
        <v>439</v>
      </c>
      <c r="AT85" s="86"/>
      <c r="AU85" s="87"/>
      <c r="AV85" s="88">
        <v>1</v>
      </c>
      <c r="AW85" s="84" t="s">
        <v>1121</v>
      </c>
      <c r="AX85" s="85" t="s">
        <v>80</v>
      </c>
      <c r="AY85" s="86">
        <v>3</v>
      </c>
      <c r="AZ85" s="115">
        <v>3</v>
      </c>
      <c r="BA85" s="87" t="s">
        <v>439</v>
      </c>
      <c r="BB85" s="86"/>
      <c r="BC85" s="84" t="s">
        <v>1121</v>
      </c>
      <c r="BD85" s="149" t="s">
        <v>124</v>
      </c>
      <c r="BE85" s="85" t="s">
        <v>182</v>
      </c>
      <c r="BF85" s="149" t="s">
        <v>2109</v>
      </c>
      <c r="BG85" s="85" t="s">
        <v>21</v>
      </c>
      <c r="BH85" s="85" t="s">
        <v>81</v>
      </c>
      <c r="BI85" s="84" t="s">
        <v>1116</v>
      </c>
      <c r="BJ85" s="89">
        <f t="shared" si="82"/>
        <v>1</v>
      </c>
      <c r="BK85" s="84">
        <v>12</v>
      </c>
      <c r="BL85" s="84">
        <v>12</v>
      </c>
      <c r="BM85" s="88">
        <v>1</v>
      </c>
      <c r="BN85" s="84" t="s">
        <v>379</v>
      </c>
      <c r="BO85" s="84" t="s">
        <v>856</v>
      </c>
      <c r="BP85" s="163" t="s">
        <v>64</v>
      </c>
      <c r="BR85" s="84" t="s">
        <v>2120</v>
      </c>
      <c r="BS85" s="81" t="s">
        <v>2159</v>
      </c>
      <c r="BU85" s="86"/>
      <c r="BV85" s="86"/>
      <c r="BW85" s="90"/>
      <c r="BX85" s="86"/>
      <c r="BY85" s="86"/>
      <c r="CC85" s="86"/>
      <c r="CD85" s="86"/>
      <c r="CE85" s="90"/>
      <c r="CF85" s="86"/>
      <c r="CG85" s="86"/>
      <c r="CK85" s="86"/>
      <c r="CL85" s="86"/>
      <c r="CM85" s="86"/>
      <c r="CN85" s="86"/>
      <c r="CO85" s="86"/>
      <c r="CR85" s="84" t="s">
        <v>572</v>
      </c>
      <c r="CS85" s="86">
        <v>13</v>
      </c>
      <c r="CT85" s="86"/>
      <c r="CU85" s="86">
        <v>2.8340606909521187</v>
      </c>
      <c r="CV85" s="86">
        <v>3</v>
      </c>
      <c r="CW85" s="86">
        <v>3</v>
      </c>
      <c r="CX85" s="84" t="s">
        <v>2121</v>
      </c>
      <c r="CY85" s="84" t="s">
        <v>1288</v>
      </c>
      <c r="CZ85" s="84" t="s">
        <v>80</v>
      </c>
      <c r="DA85" s="82">
        <v>11.7</v>
      </c>
      <c r="DB85" s="82"/>
      <c r="DC85" s="82">
        <v>3.6533135644233985</v>
      </c>
      <c r="DD85" s="82">
        <v>3</v>
      </c>
      <c r="DE85" s="82">
        <v>3</v>
      </c>
      <c r="DF85" s="84" t="s">
        <v>2121</v>
      </c>
      <c r="DG85" s="84" t="s">
        <v>1289</v>
      </c>
      <c r="DH85" s="84" t="s">
        <v>572</v>
      </c>
      <c r="DI85" s="82">
        <v>11.3</v>
      </c>
      <c r="DJ85" s="82"/>
      <c r="DK85" s="82">
        <v>5.4256336035526758</v>
      </c>
      <c r="DL85" s="82">
        <v>3</v>
      </c>
      <c r="DM85" s="82">
        <v>3</v>
      </c>
      <c r="DN85" s="84" t="s">
        <v>2121</v>
      </c>
      <c r="DO85" s="84" t="s">
        <v>1288</v>
      </c>
      <c r="DP85" s="91" t="s">
        <v>80</v>
      </c>
      <c r="DQ85" s="96">
        <v>13.600000000000001</v>
      </c>
      <c r="DR85" s="96"/>
      <c r="DS85" s="96">
        <v>4.3139193316519027</v>
      </c>
      <c r="DT85" s="96">
        <v>3</v>
      </c>
      <c r="DU85" s="96">
        <v>3</v>
      </c>
      <c r="DV85" s="84" t="s">
        <v>2121</v>
      </c>
      <c r="DW85" s="91" t="s">
        <v>1289</v>
      </c>
      <c r="DX85" s="84" t="s">
        <v>1747</v>
      </c>
      <c r="DY85" s="86">
        <f t="shared" si="83"/>
        <v>-1.6999999999999993</v>
      </c>
      <c r="DZ85" s="86"/>
      <c r="EA85" s="86">
        <f t="shared" si="84"/>
        <v>6.1212253675224204</v>
      </c>
      <c r="EB85" s="119">
        <v>3</v>
      </c>
      <c r="EC85" s="119">
        <v>3</v>
      </c>
      <c r="ED85" s="84" t="s">
        <v>1743</v>
      </c>
      <c r="EE85" s="84" t="s">
        <v>1744</v>
      </c>
      <c r="EF85" s="84" t="s">
        <v>1746</v>
      </c>
      <c r="EG85" s="86">
        <f t="shared" si="85"/>
        <v>1.9000000000000021</v>
      </c>
      <c r="EH85" s="86"/>
      <c r="EI85" s="86">
        <f t="shared" si="86"/>
        <v>5.653016893659526</v>
      </c>
      <c r="EJ85" s="119">
        <v>3</v>
      </c>
      <c r="EK85" s="119">
        <v>3</v>
      </c>
      <c r="EL85" s="84" t="s">
        <v>1743</v>
      </c>
      <c r="EM85" s="84" t="s">
        <v>1745</v>
      </c>
      <c r="EN85" s="86">
        <f t="shared" si="87"/>
        <v>-1.6999999999999993</v>
      </c>
      <c r="EO85" s="86">
        <f t="shared" si="88"/>
        <v>6.1212253675224204</v>
      </c>
      <c r="EP85" s="86">
        <f t="shared" si="89"/>
        <v>3</v>
      </c>
      <c r="EQ85" s="86">
        <f t="shared" si="90"/>
        <v>3</v>
      </c>
      <c r="ER85" s="86">
        <f t="shared" si="91"/>
        <v>1.9000000000000021</v>
      </c>
      <c r="ES85" s="86">
        <f t="shared" si="92"/>
        <v>5.653016893659526</v>
      </c>
      <c r="ET85" s="86">
        <f t="shared" si="93"/>
        <v>3</v>
      </c>
      <c r="EU85" s="86">
        <f t="shared" si="94"/>
        <v>3</v>
      </c>
      <c r="EV85" s="86">
        <f t="shared" si="64"/>
        <v>5.8917739264163886</v>
      </c>
      <c r="EW85" s="86">
        <f t="shared" si="65"/>
        <v>-0.61102140797681026</v>
      </c>
      <c r="EX85" s="86">
        <f t="shared" si="66"/>
        <v>0.6977789300838303</v>
      </c>
      <c r="EY85" s="86">
        <f t="shared" si="67"/>
        <v>0.8</v>
      </c>
      <c r="EZ85" s="83">
        <f t="shared" si="68"/>
        <v>-0.48881712638144825</v>
      </c>
      <c r="FA85" s="83">
        <f t="shared" si="69"/>
        <v>0.4465785152536515</v>
      </c>
      <c r="FB85" s="83">
        <f t="shared" si="70"/>
        <v>6</v>
      </c>
      <c r="FC85" s="84" t="s">
        <v>385</v>
      </c>
    </row>
    <row r="86" spans="1:159" s="84" customFormat="1" ht="17.100000000000001" customHeight="1">
      <c r="A86" s="144" t="s">
        <v>2037</v>
      </c>
      <c r="B86" s="156" t="s">
        <v>2038</v>
      </c>
      <c r="C86" s="80" t="str">
        <f t="shared" si="71"/>
        <v>Hutchinson, T., &amp; Sutherland, S.  2000.  Fire and understory vegetation: A large-scale study in Ohio and a search for general response patterns in central hardwood forests.  In: Proceedings: Workshop on Fire, People and the Cetnral Hardwood Landscape . : 64-74.</v>
      </c>
      <c r="D86" s="81" t="s">
        <v>2039</v>
      </c>
      <c r="E86" s="81">
        <v>2000</v>
      </c>
      <c r="F86" s="99" t="s">
        <v>2040</v>
      </c>
      <c r="G86" s="99" t="s">
        <v>2041</v>
      </c>
      <c r="H86" s="156"/>
      <c r="I86" s="99" t="s">
        <v>2042</v>
      </c>
      <c r="J86" s="81"/>
      <c r="K86" s="164" t="s">
        <v>2043</v>
      </c>
      <c r="L86" s="84" t="s">
        <v>18</v>
      </c>
      <c r="M86" s="93" t="s">
        <v>163</v>
      </c>
      <c r="N86" s="84" t="s">
        <v>389</v>
      </c>
      <c r="P86" s="156" t="s">
        <v>16</v>
      </c>
      <c r="Q86" s="164" t="s">
        <v>677</v>
      </c>
      <c r="R86" s="164" t="s">
        <v>2044</v>
      </c>
      <c r="S86" s="156"/>
      <c r="T86" s="156" t="s">
        <v>2045</v>
      </c>
      <c r="U86" s="156" t="s">
        <v>2046</v>
      </c>
      <c r="V86" s="156">
        <v>38.950000000000003</v>
      </c>
      <c r="W86" s="99">
        <v>-82.45</v>
      </c>
      <c r="X86" s="81"/>
      <c r="Y86" s="99" t="s">
        <v>2060</v>
      </c>
      <c r="Z86" s="66" t="s">
        <v>2107</v>
      </c>
      <c r="AA86" s="165" t="s">
        <v>555</v>
      </c>
      <c r="AB86" s="84" t="s">
        <v>103</v>
      </c>
      <c r="AC86" s="81" t="s">
        <v>137</v>
      </c>
      <c r="AE86" s="84" t="s">
        <v>2059</v>
      </c>
      <c r="AF86" s="85" t="s">
        <v>64</v>
      </c>
      <c r="AG86" s="85" t="s">
        <v>92</v>
      </c>
      <c r="AH86" s="85" t="s">
        <v>106</v>
      </c>
      <c r="AI86" s="84" t="s">
        <v>93</v>
      </c>
      <c r="AJ86" s="115">
        <v>4</v>
      </c>
      <c r="AK86" s="115">
        <v>1</v>
      </c>
      <c r="AL86" s="115">
        <v>1</v>
      </c>
      <c r="AM86" s="85" t="s">
        <v>64</v>
      </c>
      <c r="AN86" s="84" t="s">
        <v>2047</v>
      </c>
      <c r="AO86" s="84" t="s">
        <v>526</v>
      </c>
      <c r="AP86" s="68" t="s">
        <v>2227</v>
      </c>
      <c r="AQ86" s="84" t="s">
        <v>88</v>
      </c>
      <c r="AR86" s="86">
        <v>9</v>
      </c>
      <c r="AS86" s="86">
        <v>4</v>
      </c>
      <c r="AT86" s="86">
        <v>4</v>
      </c>
      <c r="AU86" s="90" t="s">
        <v>193</v>
      </c>
      <c r="AV86" s="88">
        <v>0.3</v>
      </c>
      <c r="AW86" s="84" t="s">
        <v>2048</v>
      </c>
      <c r="AX86" s="85" t="s">
        <v>80</v>
      </c>
      <c r="AY86" s="86">
        <v>4</v>
      </c>
      <c r="AZ86" s="115">
        <v>9</v>
      </c>
      <c r="BA86" s="86">
        <v>4</v>
      </c>
      <c r="BB86" s="86">
        <v>4</v>
      </c>
      <c r="BC86" s="84" t="s">
        <v>2048</v>
      </c>
      <c r="BD86" s="149" t="s">
        <v>124</v>
      </c>
      <c r="BE86" s="85" t="s">
        <v>182</v>
      </c>
      <c r="BF86" s="149" t="s">
        <v>110</v>
      </c>
      <c r="BG86" s="85" t="s">
        <v>21</v>
      </c>
      <c r="BH86" s="85" t="s">
        <v>682</v>
      </c>
      <c r="BI86" s="84" t="s">
        <v>2049</v>
      </c>
      <c r="BJ86" s="89">
        <f>40/12</f>
        <v>3.3333333333333335</v>
      </c>
      <c r="BK86" s="84" t="s">
        <v>2050</v>
      </c>
      <c r="BL86" s="84" t="s">
        <v>2050</v>
      </c>
      <c r="BM86" s="88">
        <v>3.3333333333333335</v>
      </c>
      <c r="BN86" s="84" t="s">
        <v>2051</v>
      </c>
      <c r="BO86" s="84" t="s">
        <v>2052</v>
      </c>
      <c r="BP86" s="163" t="s">
        <v>64</v>
      </c>
      <c r="BR86" s="84" t="s">
        <v>2053</v>
      </c>
      <c r="BS86" s="84" t="s">
        <v>2139</v>
      </c>
      <c r="BU86" s="86"/>
      <c r="BV86" s="86"/>
      <c r="BW86" s="86"/>
      <c r="BX86" s="86"/>
      <c r="BY86" s="86"/>
      <c r="CC86" s="86"/>
      <c r="CD86" s="86"/>
      <c r="CE86" s="86"/>
      <c r="CF86" s="86"/>
      <c r="CG86" s="86"/>
      <c r="CK86" s="86"/>
      <c r="CL86" s="86"/>
      <c r="CM86" s="86"/>
      <c r="CN86" s="86"/>
      <c r="CO86" s="86"/>
      <c r="CR86" s="84" t="s">
        <v>572</v>
      </c>
      <c r="CS86" s="86">
        <v>158.44</v>
      </c>
      <c r="CT86" s="86">
        <f>166.41-158.44</f>
        <v>7.9699999999999989</v>
      </c>
      <c r="CU86" s="86">
        <v>15.939999999999998</v>
      </c>
      <c r="CV86" s="86">
        <v>4</v>
      </c>
      <c r="CW86" s="86">
        <v>4</v>
      </c>
      <c r="CX86" s="84" t="s">
        <v>2054</v>
      </c>
      <c r="CY86" s="84" t="s">
        <v>2055</v>
      </c>
      <c r="CZ86" s="84" t="s">
        <v>80</v>
      </c>
      <c r="DA86" s="82">
        <v>160.16999999999999</v>
      </c>
      <c r="DB86" s="82">
        <f>166.75-160.17</f>
        <v>6.5800000000000125</v>
      </c>
      <c r="DC86" s="82">
        <v>13.160000000000025</v>
      </c>
      <c r="DD86" s="82">
        <v>4</v>
      </c>
      <c r="DE86" s="82">
        <v>4</v>
      </c>
      <c r="DF86" s="84" t="s">
        <v>2054</v>
      </c>
      <c r="DG86" s="84" t="s">
        <v>2055</v>
      </c>
      <c r="DH86" s="84" t="s">
        <v>572</v>
      </c>
      <c r="DI86" s="82">
        <v>171.26</v>
      </c>
      <c r="DJ86" s="82">
        <v>5.54</v>
      </c>
      <c r="DK86" s="82">
        <v>11.08</v>
      </c>
      <c r="DL86" s="82">
        <v>4</v>
      </c>
      <c r="DM86" s="82">
        <v>4</v>
      </c>
      <c r="DN86" s="82" t="s">
        <v>2054</v>
      </c>
      <c r="DO86" s="84" t="s">
        <v>2055</v>
      </c>
      <c r="DP86" s="84" t="s">
        <v>80</v>
      </c>
      <c r="DQ86" s="82">
        <v>168.48</v>
      </c>
      <c r="DR86" s="82">
        <f>177.14-168.48</f>
        <v>8.6599999999999966</v>
      </c>
      <c r="DS86" s="82">
        <v>17.319999999999993</v>
      </c>
      <c r="DT86" s="82">
        <v>4</v>
      </c>
      <c r="DU86" s="82">
        <v>4</v>
      </c>
      <c r="DV86" s="84" t="s">
        <v>2054</v>
      </c>
      <c r="DW86" s="84" t="s">
        <v>2055</v>
      </c>
      <c r="DX86" s="84" t="s">
        <v>1747</v>
      </c>
      <c r="DY86" s="86">
        <f t="shared" si="83"/>
        <v>12.819999999999993</v>
      </c>
      <c r="DZ86" s="86"/>
      <c r="EA86" s="86">
        <f t="shared" si="84"/>
        <v>19.412624758130981</v>
      </c>
      <c r="EB86" s="86">
        <v>4</v>
      </c>
      <c r="EC86" s="86">
        <v>4</v>
      </c>
      <c r="ED86" s="84" t="s">
        <v>1743</v>
      </c>
      <c r="EE86" s="84" t="s">
        <v>1744</v>
      </c>
      <c r="EF86" s="84" t="s">
        <v>1746</v>
      </c>
      <c r="EG86" s="86">
        <f t="shared" si="85"/>
        <v>8.3100000000000023</v>
      </c>
      <c r="EH86" s="86"/>
      <c r="EI86" s="86">
        <f t="shared" si="86"/>
        <v>21.752425152152586</v>
      </c>
      <c r="EJ86" s="86">
        <v>4</v>
      </c>
      <c r="EK86" s="86">
        <v>4</v>
      </c>
      <c r="EL86" s="84" t="s">
        <v>1743</v>
      </c>
      <c r="EM86" s="84" t="s">
        <v>1745</v>
      </c>
      <c r="EN86" s="86">
        <f t="shared" si="87"/>
        <v>12.819999999999993</v>
      </c>
      <c r="EO86" s="86">
        <f t="shared" si="88"/>
        <v>19.412624758130981</v>
      </c>
      <c r="EP86" s="86">
        <f t="shared" si="89"/>
        <v>4</v>
      </c>
      <c r="EQ86" s="86">
        <f t="shared" si="90"/>
        <v>4</v>
      </c>
      <c r="ER86" s="86">
        <f t="shared" si="91"/>
        <v>8.3100000000000023</v>
      </c>
      <c r="ES86" s="86">
        <f t="shared" si="92"/>
        <v>21.752425152152586</v>
      </c>
      <c r="ET86" s="86">
        <f t="shared" si="93"/>
        <v>4</v>
      </c>
      <c r="EU86" s="86">
        <f t="shared" si="94"/>
        <v>4</v>
      </c>
      <c r="EV86" s="86">
        <f t="shared" si="64"/>
        <v>20.615746408995243</v>
      </c>
      <c r="EW86" s="86">
        <f t="shared" si="65"/>
        <v>0.21876481746167328</v>
      </c>
      <c r="EX86" s="86">
        <f t="shared" si="66"/>
        <v>0.50299112783493993</v>
      </c>
      <c r="EY86" s="86">
        <f t="shared" si="67"/>
        <v>0.86956521739130432</v>
      </c>
      <c r="EZ86" s="83">
        <f t="shared" si="68"/>
        <v>0.19023027605362894</v>
      </c>
      <c r="FA86" s="83">
        <f t="shared" si="69"/>
        <v>0.38033355601885815</v>
      </c>
      <c r="FB86" s="83">
        <f t="shared" si="70"/>
        <v>8</v>
      </c>
      <c r="FC86" s="84" t="s">
        <v>125</v>
      </c>
    </row>
    <row r="87" spans="1:159" s="84" customFormat="1" ht="17.100000000000001" customHeight="1">
      <c r="A87" s="144" t="s">
        <v>2037</v>
      </c>
      <c r="B87" s="156" t="s">
        <v>2056</v>
      </c>
      <c r="C87" s="80" t="str">
        <f t="shared" si="71"/>
        <v>Hutchinson, T., &amp; Sutherland, S.  2000.  Fire and understory vegetation: A large-scale study in Ohio and a search for general response patterns in central hardwood forests.  In: Proceedings: Workshop on Fire, People and the Cetnral Hardwood Landscape . : 64-74.</v>
      </c>
      <c r="D87" s="81" t="s">
        <v>2039</v>
      </c>
      <c r="E87" s="81">
        <v>2000</v>
      </c>
      <c r="F87" s="99" t="s">
        <v>2040</v>
      </c>
      <c r="G87" s="99" t="s">
        <v>2041</v>
      </c>
      <c r="H87" s="156"/>
      <c r="I87" s="99" t="s">
        <v>2042</v>
      </c>
      <c r="J87" s="81"/>
      <c r="K87" s="164" t="s">
        <v>2043</v>
      </c>
      <c r="L87" s="84" t="s">
        <v>18</v>
      </c>
      <c r="M87" s="93" t="s">
        <v>163</v>
      </c>
      <c r="N87" s="84" t="s">
        <v>389</v>
      </c>
      <c r="P87" s="156" t="s">
        <v>16</v>
      </c>
      <c r="Q87" s="164" t="s">
        <v>677</v>
      </c>
      <c r="R87" s="164" t="s">
        <v>2044</v>
      </c>
      <c r="S87" s="156"/>
      <c r="T87" s="156" t="s">
        <v>2045</v>
      </c>
      <c r="U87" s="156" t="s">
        <v>2057</v>
      </c>
      <c r="V87" s="156">
        <v>38.950000000000003</v>
      </c>
      <c r="W87" s="99">
        <v>-82.45</v>
      </c>
      <c r="X87" s="81"/>
      <c r="Y87" s="99" t="s">
        <v>2060</v>
      </c>
      <c r="Z87" s="66" t="s">
        <v>2107</v>
      </c>
      <c r="AA87" s="165" t="s">
        <v>555</v>
      </c>
      <c r="AB87" s="84" t="s">
        <v>103</v>
      </c>
      <c r="AC87" s="81" t="s">
        <v>137</v>
      </c>
      <c r="AE87" s="84" t="s">
        <v>2059</v>
      </c>
      <c r="AF87" s="85" t="s">
        <v>64</v>
      </c>
      <c r="AG87" s="85" t="s">
        <v>92</v>
      </c>
      <c r="AH87" s="85" t="s">
        <v>106</v>
      </c>
      <c r="AI87" s="84" t="s">
        <v>93</v>
      </c>
      <c r="AJ87" s="115">
        <v>4</v>
      </c>
      <c r="AK87" s="115">
        <v>3</v>
      </c>
      <c r="AL87" s="115">
        <v>3</v>
      </c>
      <c r="AM87" s="85" t="s">
        <v>64</v>
      </c>
      <c r="AN87" s="84" t="s">
        <v>2047</v>
      </c>
      <c r="AO87" s="84" t="s">
        <v>526</v>
      </c>
      <c r="AP87" s="68" t="s">
        <v>2227</v>
      </c>
      <c r="AQ87" s="84" t="s">
        <v>88</v>
      </c>
      <c r="AR87" s="86">
        <v>9</v>
      </c>
      <c r="AS87" s="86">
        <v>4</v>
      </c>
      <c r="AT87" s="86">
        <v>4</v>
      </c>
      <c r="AU87" s="90" t="s">
        <v>193</v>
      </c>
      <c r="AV87" s="88">
        <v>0.89999999999999991</v>
      </c>
      <c r="AW87" s="84" t="s">
        <v>2048</v>
      </c>
      <c r="AX87" s="85" t="s">
        <v>80</v>
      </c>
      <c r="AY87" s="86">
        <v>4</v>
      </c>
      <c r="AZ87" s="115">
        <v>9</v>
      </c>
      <c r="BA87" s="86">
        <v>4</v>
      </c>
      <c r="BB87" s="86">
        <v>4</v>
      </c>
      <c r="BC87" s="84" t="s">
        <v>2048</v>
      </c>
      <c r="BD87" s="149" t="s">
        <v>124</v>
      </c>
      <c r="BE87" s="85" t="s">
        <v>182</v>
      </c>
      <c r="BF87" s="149" t="s">
        <v>110</v>
      </c>
      <c r="BG87" s="85" t="s">
        <v>21</v>
      </c>
      <c r="BH87" s="85" t="s">
        <v>682</v>
      </c>
      <c r="BI87" s="84" t="s">
        <v>2049</v>
      </c>
      <c r="BJ87" s="89">
        <f>40/12</f>
        <v>3.3333333333333335</v>
      </c>
      <c r="BK87" s="84" t="s">
        <v>2050</v>
      </c>
      <c r="BL87" s="111" t="s">
        <v>2058</v>
      </c>
      <c r="BM87" s="88">
        <v>0.33333333333333331</v>
      </c>
      <c r="BN87" s="84" t="s">
        <v>2051</v>
      </c>
      <c r="BO87" s="84" t="s">
        <v>2052</v>
      </c>
      <c r="BP87" s="163" t="s">
        <v>64</v>
      </c>
      <c r="BR87" s="84" t="s">
        <v>2053</v>
      </c>
      <c r="BS87" s="84" t="s">
        <v>2139</v>
      </c>
      <c r="BU87" s="86"/>
      <c r="BV87" s="86"/>
      <c r="BW87" s="86"/>
      <c r="BX87" s="86"/>
      <c r="BY87" s="86"/>
      <c r="CC87" s="86"/>
      <c r="CD87" s="86"/>
      <c r="CE87" s="67"/>
      <c r="CF87" s="86"/>
      <c r="CG87" s="86"/>
      <c r="CK87" s="86"/>
      <c r="CL87" s="86"/>
      <c r="CM87" s="86"/>
      <c r="CN87" s="86"/>
      <c r="CO87" s="86"/>
      <c r="CR87" s="84" t="s">
        <v>683</v>
      </c>
      <c r="CS87" s="86">
        <v>148.4</v>
      </c>
      <c r="CT87" s="86">
        <f>148.4-142.51</f>
        <v>5.8900000000000148</v>
      </c>
      <c r="CU87" s="86">
        <v>11.78000000000003</v>
      </c>
      <c r="CV87" s="86">
        <v>4</v>
      </c>
      <c r="CW87" s="86">
        <v>4</v>
      </c>
      <c r="CX87" s="84" t="s">
        <v>2054</v>
      </c>
      <c r="CY87" s="84" t="s">
        <v>2055</v>
      </c>
      <c r="CZ87" s="84" t="s">
        <v>80</v>
      </c>
      <c r="DA87" s="82">
        <v>160.16999999999999</v>
      </c>
      <c r="DB87" s="82">
        <f>166.75-160.17</f>
        <v>6.5800000000000125</v>
      </c>
      <c r="DC87" s="82">
        <v>13.160000000000025</v>
      </c>
      <c r="DD87" s="82">
        <v>4</v>
      </c>
      <c r="DE87" s="82">
        <v>4</v>
      </c>
      <c r="DF87" s="84" t="s">
        <v>2054</v>
      </c>
      <c r="DG87" s="84" t="s">
        <v>2055</v>
      </c>
      <c r="DH87" s="84" t="s">
        <v>683</v>
      </c>
      <c r="DI87" s="82">
        <v>152.55000000000001</v>
      </c>
      <c r="DJ87" s="82">
        <f>152.22-147.01</f>
        <v>5.210000000000008</v>
      </c>
      <c r="DK87" s="82">
        <v>10.420000000000016</v>
      </c>
      <c r="DL87" s="82">
        <v>4</v>
      </c>
      <c r="DM87" s="82">
        <v>4</v>
      </c>
      <c r="DN87" s="82" t="s">
        <v>2054</v>
      </c>
      <c r="DO87" s="84" t="s">
        <v>2055</v>
      </c>
      <c r="DP87" s="84" t="s">
        <v>80</v>
      </c>
      <c r="DQ87" s="82">
        <v>168.48</v>
      </c>
      <c r="DR87" s="82">
        <f>177.14-168.48</f>
        <v>8.6599999999999966</v>
      </c>
      <c r="DS87" s="82">
        <v>17.319999999999993</v>
      </c>
      <c r="DT87" s="82">
        <v>4</v>
      </c>
      <c r="DU87" s="82">
        <v>4</v>
      </c>
      <c r="DV87" s="84" t="s">
        <v>2054</v>
      </c>
      <c r="DW87" s="84" t="s">
        <v>2055</v>
      </c>
      <c r="DX87" s="84" t="s">
        <v>1747</v>
      </c>
      <c r="DY87" s="86">
        <f t="shared" si="83"/>
        <v>4.1500000000000057</v>
      </c>
      <c r="DZ87" s="86"/>
      <c r="EA87" s="86">
        <f t="shared" si="84"/>
        <v>15.727199369245659</v>
      </c>
      <c r="EB87" s="86">
        <v>4</v>
      </c>
      <c r="EC87" s="86">
        <v>4</v>
      </c>
      <c r="ED87" s="84" t="s">
        <v>1743</v>
      </c>
      <c r="EE87" s="84" t="s">
        <v>1744</v>
      </c>
      <c r="EF87" s="84" t="s">
        <v>1746</v>
      </c>
      <c r="EG87" s="86">
        <f t="shared" si="85"/>
        <v>8.3100000000000023</v>
      </c>
      <c r="EH87" s="86"/>
      <c r="EI87" s="86">
        <f t="shared" si="86"/>
        <v>21.752425152152586</v>
      </c>
      <c r="EJ87" s="86">
        <v>4</v>
      </c>
      <c r="EK87" s="86">
        <v>4</v>
      </c>
      <c r="EL87" s="84" t="s">
        <v>1743</v>
      </c>
      <c r="EM87" s="84" t="s">
        <v>1745</v>
      </c>
      <c r="EN87" s="86">
        <f t="shared" si="87"/>
        <v>4.1500000000000057</v>
      </c>
      <c r="EO87" s="86">
        <f t="shared" si="88"/>
        <v>15.727199369245659</v>
      </c>
      <c r="EP87" s="86">
        <f t="shared" si="89"/>
        <v>4</v>
      </c>
      <c r="EQ87" s="86">
        <f t="shared" si="90"/>
        <v>4</v>
      </c>
      <c r="ER87" s="86">
        <f t="shared" si="91"/>
        <v>8.3100000000000023</v>
      </c>
      <c r="ES87" s="86">
        <f t="shared" si="92"/>
        <v>21.752425152152586</v>
      </c>
      <c r="ET87" s="86">
        <f t="shared" si="93"/>
        <v>4</v>
      </c>
      <c r="EU87" s="86">
        <f t="shared" si="94"/>
        <v>4</v>
      </c>
      <c r="EV87" s="86">
        <f t="shared" si="64"/>
        <v>18.980421491631862</v>
      </c>
      <c r="EW87" s="86">
        <f t="shared" si="65"/>
        <v>-0.21917321498018727</v>
      </c>
      <c r="EX87" s="86">
        <f t="shared" si="66"/>
        <v>0.50300230613529695</v>
      </c>
      <c r="EY87" s="86">
        <f t="shared" si="67"/>
        <v>0.86956521739130432</v>
      </c>
      <c r="EZ87" s="83">
        <f t="shared" si="68"/>
        <v>-0.19058540433059762</v>
      </c>
      <c r="FA87" s="83">
        <f t="shared" si="69"/>
        <v>0.38034200841988425</v>
      </c>
      <c r="FB87" s="83">
        <f t="shared" si="70"/>
        <v>8</v>
      </c>
      <c r="FC87" s="84" t="s">
        <v>125</v>
      </c>
    </row>
    <row r="88" spans="1:159" s="84" customFormat="1" ht="17.100000000000001" customHeight="1">
      <c r="A88" s="78" t="s">
        <v>1798</v>
      </c>
      <c r="B88" s="81" t="s">
        <v>1919</v>
      </c>
      <c r="C88" s="80" t="str">
        <f t="shared" si="71"/>
        <v>Hutchinson, T. F., Boerner, R. E., Sutherland, S., Sutherland, E. K., Ortt, M., &amp; Iverson, L. R.  2005.  Prescribed fire effects on the herbaceous layer of mixed-oak forests. Canadian Journal of Forest Research. 35: 877-890.</v>
      </c>
      <c r="D88" s="81" t="s">
        <v>1470</v>
      </c>
      <c r="E88" s="81">
        <v>2005</v>
      </c>
      <c r="F88" s="91" t="s">
        <v>830</v>
      </c>
      <c r="G88" s="91" t="s">
        <v>173</v>
      </c>
      <c r="H88" s="91">
        <v>35</v>
      </c>
      <c r="I88" s="92" t="s">
        <v>831</v>
      </c>
      <c r="J88" s="81"/>
      <c r="K88" s="91" t="s">
        <v>832</v>
      </c>
      <c r="L88" s="84" t="s">
        <v>18</v>
      </c>
      <c r="M88" s="95" t="s">
        <v>73</v>
      </c>
      <c r="N88" s="84" t="s">
        <v>389</v>
      </c>
      <c r="P88" s="91" t="s">
        <v>16</v>
      </c>
      <c r="Q88" s="91" t="s">
        <v>677</v>
      </c>
      <c r="R88" s="91" t="s">
        <v>833</v>
      </c>
      <c r="S88" s="91"/>
      <c r="T88" s="91" t="s">
        <v>834</v>
      </c>
      <c r="U88" s="91" t="s">
        <v>835</v>
      </c>
      <c r="V88" s="91">
        <v>39.19</v>
      </c>
      <c r="W88" s="91">
        <v>-82.38</v>
      </c>
      <c r="X88" s="81"/>
      <c r="Y88" s="99" t="s">
        <v>2060</v>
      </c>
      <c r="Z88" s="66" t="s">
        <v>97</v>
      </c>
      <c r="AA88" s="93" t="s">
        <v>555</v>
      </c>
      <c r="AB88" s="84" t="s">
        <v>103</v>
      </c>
      <c r="AC88" s="81" t="s">
        <v>137</v>
      </c>
      <c r="AE88" s="84" t="s">
        <v>836</v>
      </c>
      <c r="AF88" s="84" t="s">
        <v>105</v>
      </c>
      <c r="AG88" s="84" t="s">
        <v>91</v>
      </c>
      <c r="AH88" s="84" t="s">
        <v>156</v>
      </c>
      <c r="AI88" s="84" t="s">
        <v>93</v>
      </c>
      <c r="AJ88" s="86">
        <v>4</v>
      </c>
      <c r="AK88" s="86">
        <v>2</v>
      </c>
      <c r="AL88" s="86">
        <v>2</v>
      </c>
      <c r="AM88" s="84" t="s">
        <v>837</v>
      </c>
      <c r="AN88" s="84" t="s">
        <v>838</v>
      </c>
      <c r="AO88" s="84" t="s">
        <v>526</v>
      </c>
      <c r="AP88" s="68" t="s">
        <v>2227</v>
      </c>
      <c r="AQ88" s="84" t="s">
        <v>88</v>
      </c>
      <c r="AR88" s="114">
        <v>1</v>
      </c>
      <c r="AS88" s="86">
        <v>36</v>
      </c>
      <c r="AT88" s="87"/>
      <c r="AU88" s="90">
        <v>4</v>
      </c>
      <c r="AV88" s="88">
        <v>0.63157894736842113</v>
      </c>
      <c r="AW88" s="84" t="s">
        <v>1353</v>
      </c>
      <c r="AX88" s="117" t="s">
        <v>80</v>
      </c>
      <c r="AY88" s="86">
        <v>4</v>
      </c>
      <c r="AZ88" s="86">
        <v>1</v>
      </c>
      <c r="BA88" s="86">
        <v>36</v>
      </c>
      <c r="BB88" s="87"/>
      <c r="BC88" s="84" t="s">
        <v>1353</v>
      </c>
      <c r="BD88" s="93" t="s">
        <v>124</v>
      </c>
      <c r="BE88" s="84" t="s">
        <v>182</v>
      </c>
      <c r="BF88" s="93" t="s">
        <v>110</v>
      </c>
      <c r="BG88" s="110" t="s">
        <v>840</v>
      </c>
      <c r="BH88" s="84" t="s">
        <v>81</v>
      </c>
      <c r="BI88" s="84" t="s">
        <v>841</v>
      </c>
      <c r="BJ88" s="89">
        <f t="shared" ref="BJ88:BJ119" si="95">BK88/12</f>
        <v>3.1666666666666665</v>
      </c>
      <c r="BK88" s="84">
        <v>38</v>
      </c>
      <c r="BL88" s="84">
        <v>2</v>
      </c>
      <c r="BM88" s="88">
        <v>0.16666666666666666</v>
      </c>
      <c r="BN88" s="84" t="s">
        <v>389</v>
      </c>
      <c r="BO88" s="84" t="s">
        <v>382</v>
      </c>
      <c r="BP88" s="84" t="s">
        <v>64</v>
      </c>
      <c r="BR88" s="81" t="s">
        <v>1168</v>
      </c>
      <c r="BS88" s="81" t="s">
        <v>2133</v>
      </c>
      <c r="BU88" s="86"/>
      <c r="BV88" s="86"/>
      <c r="BW88" s="90"/>
      <c r="BX88" s="86"/>
      <c r="BY88" s="86"/>
      <c r="CC88" s="86"/>
      <c r="CD88" s="86"/>
      <c r="CE88" s="90"/>
      <c r="CF88" s="86"/>
      <c r="CG88" s="86"/>
      <c r="CK88" s="86"/>
      <c r="CL88" s="86"/>
      <c r="CM88" s="86"/>
      <c r="CN88" s="86"/>
      <c r="CO88" s="86"/>
      <c r="CR88" s="84" t="s">
        <v>573</v>
      </c>
      <c r="CS88" s="86">
        <v>67.31</v>
      </c>
      <c r="CT88" s="86">
        <v>2.8</v>
      </c>
      <c r="CU88" s="86">
        <v>16.799999999999997</v>
      </c>
      <c r="CV88" s="87" t="s">
        <v>1354</v>
      </c>
      <c r="CW88" s="86">
        <v>4</v>
      </c>
      <c r="CX88" s="84" t="s">
        <v>842</v>
      </c>
      <c r="CY88" s="166" t="s">
        <v>1618</v>
      </c>
      <c r="CZ88" s="84" t="s">
        <v>80</v>
      </c>
      <c r="DA88" s="82">
        <v>61.7</v>
      </c>
      <c r="DB88" s="82">
        <v>2.64</v>
      </c>
      <c r="DC88" s="82">
        <v>15.84</v>
      </c>
      <c r="DD88" s="167" t="s">
        <v>1354</v>
      </c>
      <c r="DE88" s="82">
        <v>4</v>
      </c>
      <c r="DF88" s="84" t="s">
        <v>842</v>
      </c>
      <c r="DG88" s="166" t="s">
        <v>1618</v>
      </c>
      <c r="DH88" s="84" t="s">
        <v>573</v>
      </c>
      <c r="DI88" s="82">
        <v>66.150000000000006</v>
      </c>
      <c r="DJ88" s="82">
        <v>1.98</v>
      </c>
      <c r="DK88" s="82">
        <v>11.879999999999999</v>
      </c>
      <c r="DL88" s="167" t="s">
        <v>1354</v>
      </c>
      <c r="DM88" s="82">
        <v>4</v>
      </c>
      <c r="DN88" s="82" t="s">
        <v>842</v>
      </c>
      <c r="DO88" s="166" t="s">
        <v>1618</v>
      </c>
      <c r="DP88" s="84" t="s">
        <v>80</v>
      </c>
      <c r="DQ88" s="82">
        <v>62.86</v>
      </c>
      <c r="DR88" s="82">
        <v>1.81</v>
      </c>
      <c r="DS88" s="82">
        <v>10.86</v>
      </c>
      <c r="DT88" s="167" t="s">
        <v>1354</v>
      </c>
      <c r="DU88" s="82">
        <v>4</v>
      </c>
      <c r="DV88" s="84" t="s">
        <v>842</v>
      </c>
      <c r="DW88" s="166" t="s">
        <v>1618</v>
      </c>
      <c r="DX88" s="84" t="s">
        <v>1747</v>
      </c>
      <c r="DY88" s="86">
        <f t="shared" si="83"/>
        <v>-1.1599999999999966</v>
      </c>
      <c r="DZ88" s="86"/>
      <c r="EA88" s="86">
        <f t="shared" si="84"/>
        <v>20.576063763509286</v>
      </c>
      <c r="EB88" s="87" t="s">
        <v>1354</v>
      </c>
      <c r="EC88" s="86">
        <v>4</v>
      </c>
      <c r="ED88" s="84" t="s">
        <v>1743</v>
      </c>
      <c r="EE88" s="84" t="s">
        <v>1744</v>
      </c>
      <c r="EF88" s="84" t="s">
        <v>1746</v>
      </c>
      <c r="EG88" s="86">
        <f t="shared" si="85"/>
        <v>1.1599999999999966</v>
      </c>
      <c r="EH88" s="86"/>
      <c r="EI88" s="86">
        <f t="shared" si="86"/>
        <v>19.205343006569812</v>
      </c>
      <c r="EJ88" s="87" t="s">
        <v>1354</v>
      </c>
      <c r="EK88" s="86">
        <v>4</v>
      </c>
      <c r="EL88" s="84" t="s">
        <v>1743</v>
      </c>
      <c r="EM88" s="84" t="s">
        <v>1745</v>
      </c>
      <c r="EN88" s="86">
        <f t="shared" si="87"/>
        <v>-1.1599999999999966</v>
      </c>
      <c r="EO88" s="86">
        <f t="shared" si="88"/>
        <v>20.576063763509286</v>
      </c>
      <c r="EP88" s="86" t="str">
        <f t="shared" si="89"/>
        <v>36</v>
      </c>
      <c r="EQ88" s="86">
        <f t="shared" si="90"/>
        <v>4</v>
      </c>
      <c r="ER88" s="86">
        <f t="shared" si="91"/>
        <v>1.1599999999999966</v>
      </c>
      <c r="ES88" s="86">
        <f t="shared" si="92"/>
        <v>19.205343006569812</v>
      </c>
      <c r="ET88" s="86" t="str">
        <f t="shared" si="93"/>
        <v>36</v>
      </c>
      <c r="EU88" s="86">
        <f t="shared" si="94"/>
        <v>4</v>
      </c>
      <c r="EV88" s="86">
        <f t="shared" si="64"/>
        <v>19.902507379724796</v>
      </c>
      <c r="EW88" s="86">
        <f t="shared" si="65"/>
        <v>-0.11656822709501607</v>
      </c>
      <c r="EX88" s="86">
        <f t="shared" si="66"/>
        <v>0.50009436216366721</v>
      </c>
      <c r="EY88" s="86">
        <f t="shared" si="67"/>
        <v>0.989247311827957</v>
      </c>
      <c r="EZ88" s="83">
        <f t="shared" si="68"/>
        <v>-0.11531480529829548</v>
      </c>
      <c r="FA88" s="83">
        <f t="shared" si="69"/>
        <v>0.48939746575942644</v>
      </c>
      <c r="FB88" s="83">
        <f t="shared" si="70"/>
        <v>8</v>
      </c>
      <c r="FC88" s="84" t="s">
        <v>385</v>
      </c>
    </row>
    <row r="89" spans="1:159" s="84" customFormat="1" ht="17.100000000000001" customHeight="1">
      <c r="A89" s="78" t="s">
        <v>1798</v>
      </c>
      <c r="B89" s="81" t="s">
        <v>1920</v>
      </c>
      <c r="C89" s="80" t="str">
        <f t="shared" si="71"/>
        <v>Hutchinson, T. F., Boerner, R. E., Sutherland, S., Sutherland, E. K., Ortt, M., &amp; Iverson, L. R.  2005.  Prescribed fire effects on the herbaceous layer of mixed-oak forests. Canadian Journal of Forest Research. 35: 877-890.</v>
      </c>
      <c r="D89" s="81" t="s">
        <v>1470</v>
      </c>
      <c r="E89" s="81">
        <v>2005</v>
      </c>
      <c r="F89" s="91" t="s">
        <v>830</v>
      </c>
      <c r="G89" s="91" t="s">
        <v>173</v>
      </c>
      <c r="H89" s="91">
        <v>35</v>
      </c>
      <c r="I89" s="92" t="s">
        <v>831</v>
      </c>
      <c r="J89" s="81"/>
      <c r="K89" s="91" t="s">
        <v>832</v>
      </c>
      <c r="L89" s="84" t="s">
        <v>18</v>
      </c>
      <c r="M89" s="95" t="s">
        <v>73</v>
      </c>
      <c r="N89" s="84" t="s">
        <v>389</v>
      </c>
      <c r="P89" s="91" t="s">
        <v>16</v>
      </c>
      <c r="Q89" s="91" t="s">
        <v>677</v>
      </c>
      <c r="R89" s="91" t="s">
        <v>833</v>
      </c>
      <c r="S89" s="91"/>
      <c r="T89" s="91" t="s">
        <v>834</v>
      </c>
      <c r="U89" s="91" t="s">
        <v>835</v>
      </c>
      <c r="V89" s="91">
        <v>39.19</v>
      </c>
      <c r="W89" s="91">
        <v>-82.38</v>
      </c>
      <c r="X89" s="81"/>
      <c r="Y89" s="99" t="s">
        <v>2060</v>
      </c>
      <c r="Z89" s="66" t="s">
        <v>97</v>
      </c>
      <c r="AA89" s="93" t="s">
        <v>555</v>
      </c>
      <c r="AB89" s="84" t="s">
        <v>103</v>
      </c>
      <c r="AC89" s="81" t="s">
        <v>137</v>
      </c>
      <c r="AE89" s="84" t="s">
        <v>836</v>
      </c>
      <c r="AF89" s="84" t="s">
        <v>105</v>
      </c>
      <c r="AG89" s="84" t="s">
        <v>91</v>
      </c>
      <c r="AH89" s="84" t="s">
        <v>156</v>
      </c>
      <c r="AI89" s="84" t="s">
        <v>93</v>
      </c>
      <c r="AJ89" s="86">
        <v>4</v>
      </c>
      <c r="AK89" s="86">
        <v>4</v>
      </c>
      <c r="AL89" s="86">
        <v>4</v>
      </c>
      <c r="AM89" s="84" t="s">
        <v>837</v>
      </c>
      <c r="AN89" s="84" t="s">
        <v>838</v>
      </c>
      <c r="AO89" s="84" t="s">
        <v>526</v>
      </c>
      <c r="AP89" s="68" t="s">
        <v>2227</v>
      </c>
      <c r="AQ89" s="84" t="s">
        <v>88</v>
      </c>
      <c r="AR89" s="114">
        <v>1</v>
      </c>
      <c r="AS89" s="86">
        <v>36</v>
      </c>
      <c r="AT89" s="87"/>
      <c r="AU89" s="90">
        <v>4</v>
      </c>
      <c r="AV89" s="88">
        <v>1.2631578947368423</v>
      </c>
      <c r="AW89" s="84" t="s">
        <v>1353</v>
      </c>
      <c r="AX89" s="117" t="s">
        <v>80</v>
      </c>
      <c r="AY89" s="86">
        <v>4</v>
      </c>
      <c r="AZ89" s="86">
        <v>1</v>
      </c>
      <c r="BA89" s="86">
        <v>36</v>
      </c>
      <c r="BB89" s="87" t="s">
        <v>839</v>
      </c>
      <c r="BC89" s="84" t="s">
        <v>1353</v>
      </c>
      <c r="BD89" s="93" t="s">
        <v>124</v>
      </c>
      <c r="BE89" s="84" t="s">
        <v>182</v>
      </c>
      <c r="BF89" s="93" t="s">
        <v>110</v>
      </c>
      <c r="BG89" s="110" t="s">
        <v>840</v>
      </c>
      <c r="BH89" s="84" t="s">
        <v>81</v>
      </c>
      <c r="BI89" s="84" t="s">
        <v>841</v>
      </c>
      <c r="BJ89" s="89">
        <f t="shared" si="95"/>
        <v>3.1666666666666665</v>
      </c>
      <c r="BK89" s="84">
        <v>38</v>
      </c>
      <c r="BL89" s="84">
        <v>2</v>
      </c>
      <c r="BM89" s="88">
        <v>0.16666666666666666</v>
      </c>
      <c r="BN89" s="84" t="s">
        <v>389</v>
      </c>
      <c r="BO89" s="84" t="s">
        <v>382</v>
      </c>
      <c r="BP89" s="84" t="s">
        <v>64</v>
      </c>
      <c r="BR89" s="81" t="s">
        <v>1167</v>
      </c>
      <c r="BS89" s="81" t="s">
        <v>2133</v>
      </c>
      <c r="BU89" s="86"/>
      <c r="BV89" s="86"/>
      <c r="BW89" s="90"/>
      <c r="BX89" s="86"/>
      <c r="BY89" s="86"/>
      <c r="CC89" s="86"/>
      <c r="CD89" s="86"/>
      <c r="CE89" s="90"/>
      <c r="CF89" s="86"/>
      <c r="CG89" s="86"/>
      <c r="CK89" s="86"/>
      <c r="CL89" s="86"/>
      <c r="CM89" s="86"/>
      <c r="CN89" s="86"/>
      <c r="CO89" s="86"/>
      <c r="CR89" s="84" t="s">
        <v>418</v>
      </c>
      <c r="CS89" s="86">
        <v>66.31</v>
      </c>
      <c r="CT89" s="86">
        <v>2.8</v>
      </c>
      <c r="CU89" s="86">
        <v>16.799999999999997</v>
      </c>
      <c r="CV89" s="87" t="s">
        <v>1354</v>
      </c>
      <c r="CW89" s="86">
        <v>4</v>
      </c>
      <c r="CX89" s="84" t="s">
        <v>842</v>
      </c>
      <c r="CY89" s="166" t="s">
        <v>1618</v>
      </c>
      <c r="CZ89" s="84" t="s">
        <v>80</v>
      </c>
      <c r="DA89" s="82">
        <v>61.7</v>
      </c>
      <c r="DB89" s="82">
        <v>2.64</v>
      </c>
      <c r="DC89" s="82">
        <v>15.84</v>
      </c>
      <c r="DD89" s="167" t="s">
        <v>1354</v>
      </c>
      <c r="DE89" s="82">
        <v>4</v>
      </c>
      <c r="DF89" s="84" t="s">
        <v>842</v>
      </c>
      <c r="DG89" s="166" t="s">
        <v>1618</v>
      </c>
      <c r="DH89" s="84" t="s">
        <v>418</v>
      </c>
      <c r="DI89" s="82">
        <v>66.31</v>
      </c>
      <c r="DJ89" s="82">
        <v>1.81</v>
      </c>
      <c r="DK89" s="138">
        <v>10.86</v>
      </c>
      <c r="DL89" s="167" t="s">
        <v>1354</v>
      </c>
      <c r="DM89" s="82">
        <v>4</v>
      </c>
      <c r="DN89" s="82" t="s">
        <v>842</v>
      </c>
      <c r="DO89" s="166" t="s">
        <v>1618</v>
      </c>
      <c r="DP89" s="84" t="s">
        <v>80</v>
      </c>
      <c r="DQ89" s="82">
        <v>62.86</v>
      </c>
      <c r="DR89" s="82">
        <v>1.81</v>
      </c>
      <c r="DS89" s="82">
        <v>10.86</v>
      </c>
      <c r="DT89" s="167" t="s">
        <v>1354</v>
      </c>
      <c r="DU89" s="82">
        <v>4</v>
      </c>
      <c r="DV89" s="84" t="s">
        <v>842</v>
      </c>
      <c r="DW89" s="166" t="s">
        <v>1618</v>
      </c>
      <c r="DX89" s="84" t="s">
        <v>1747</v>
      </c>
      <c r="DY89" s="86">
        <f t="shared" si="83"/>
        <v>0</v>
      </c>
      <c r="DZ89" s="86"/>
      <c r="EA89" s="86">
        <f t="shared" si="84"/>
        <v>20.004489496110615</v>
      </c>
      <c r="EB89" s="87" t="s">
        <v>1354</v>
      </c>
      <c r="EC89" s="86">
        <v>4</v>
      </c>
      <c r="ED89" s="84" t="s">
        <v>1743</v>
      </c>
      <c r="EE89" s="84" t="s">
        <v>1744</v>
      </c>
      <c r="EF89" s="84" t="s">
        <v>1746</v>
      </c>
      <c r="EG89" s="86">
        <f t="shared" si="85"/>
        <v>1.1599999999999966</v>
      </c>
      <c r="EH89" s="86"/>
      <c r="EI89" s="86">
        <f t="shared" si="86"/>
        <v>19.205343006569812</v>
      </c>
      <c r="EJ89" s="87" t="s">
        <v>1354</v>
      </c>
      <c r="EK89" s="86">
        <v>4</v>
      </c>
      <c r="EL89" s="84" t="s">
        <v>1743</v>
      </c>
      <c r="EM89" s="84" t="s">
        <v>1745</v>
      </c>
      <c r="EN89" s="86">
        <f t="shared" si="87"/>
        <v>0</v>
      </c>
      <c r="EO89" s="86">
        <f t="shared" si="88"/>
        <v>20.004489496110615</v>
      </c>
      <c r="EP89" s="86" t="str">
        <f t="shared" si="89"/>
        <v>36</v>
      </c>
      <c r="EQ89" s="86">
        <f t="shared" si="90"/>
        <v>4</v>
      </c>
      <c r="ER89" s="86">
        <f t="shared" si="91"/>
        <v>1.1599999999999966</v>
      </c>
      <c r="ES89" s="86">
        <f t="shared" si="92"/>
        <v>19.205343006569812</v>
      </c>
      <c r="ET89" s="86" t="str">
        <f t="shared" si="93"/>
        <v>36</v>
      </c>
      <c r="EU89" s="86">
        <f t="shared" si="94"/>
        <v>4</v>
      </c>
      <c r="EV89" s="86">
        <f t="shared" si="64"/>
        <v>19.608987735219785</v>
      </c>
      <c r="EW89" s="86">
        <f t="shared" si="65"/>
        <v>-5.9156546766384877E-2</v>
      </c>
      <c r="EX89" s="86">
        <f t="shared" si="66"/>
        <v>0.5000243020626759</v>
      </c>
      <c r="EY89" s="86">
        <f t="shared" si="67"/>
        <v>0.989247311827957</v>
      </c>
      <c r="EZ89" s="83">
        <f t="shared" si="68"/>
        <v>-5.8520454865671062E-2</v>
      </c>
      <c r="FA89" s="83">
        <f t="shared" si="69"/>
        <v>0.48932890422690356</v>
      </c>
      <c r="FB89" s="83">
        <f t="shared" si="70"/>
        <v>8</v>
      </c>
      <c r="FC89" s="84" t="s">
        <v>385</v>
      </c>
    </row>
    <row r="90" spans="1:159" s="84" customFormat="1" ht="17.100000000000001" customHeight="1">
      <c r="A90" s="78" t="s">
        <v>1798</v>
      </c>
      <c r="B90" s="81" t="s">
        <v>1919</v>
      </c>
      <c r="C90" s="80" t="str">
        <f t="shared" si="71"/>
        <v>Hutchinson, T. F., Boerner, R. E., Sutherland, S., Sutherland, E. K., Ortt, M., &amp; Iverson, L. R.  2005.  Prescribed fire effects on the herbaceous layer of mixed-oak forests. Canadian Journal of Forest Research. 35: 877-890.</v>
      </c>
      <c r="D90" s="81" t="s">
        <v>1470</v>
      </c>
      <c r="E90" s="81">
        <v>2005</v>
      </c>
      <c r="F90" s="91" t="s">
        <v>830</v>
      </c>
      <c r="G90" s="91" t="s">
        <v>173</v>
      </c>
      <c r="H90" s="91">
        <v>35</v>
      </c>
      <c r="I90" s="92" t="s">
        <v>831</v>
      </c>
      <c r="J90" s="81"/>
      <c r="K90" s="91" t="s">
        <v>832</v>
      </c>
      <c r="L90" s="84" t="s">
        <v>18</v>
      </c>
      <c r="M90" s="95" t="s">
        <v>73</v>
      </c>
      <c r="N90" s="84" t="s">
        <v>389</v>
      </c>
      <c r="P90" s="91" t="s">
        <v>16</v>
      </c>
      <c r="Q90" s="91" t="s">
        <v>677</v>
      </c>
      <c r="R90" s="91" t="s">
        <v>833</v>
      </c>
      <c r="S90" s="91"/>
      <c r="T90" s="91" t="s">
        <v>834</v>
      </c>
      <c r="U90" s="91" t="s">
        <v>835</v>
      </c>
      <c r="V90" s="91">
        <v>39.19</v>
      </c>
      <c r="W90" s="91">
        <v>-82.38</v>
      </c>
      <c r="X90" s="81"/>
      <c r="Y90" s="99" t="s">
        <v>2060</v>
      </c>
      <c r="Z90" s="66" t="s">
        <v>97</v>
      </c>
      <c r="AA90" s="93" t="s">
        <v>555</v>
      </c>
      <c r="AB90" s="84" t="s">
        <v>103</v>
      </c>
      <c r="AC90" s="81" t="s">
        <v>137</v>
      </c>
      <c r="AE90" s="84" t="s">
        <v>836</v>
      </c>
      <c r="AF90" s="84" t="s">
        <v>105</v>
      </c>
      <c r="AG90" s="84" t="s">
        <v>91</v>
      </c>
      <c r="AH90" s="84" t="s">
        <v>156</v>
      </c>
      <c r="AI90" s="84" t="s">
        <v>93</v>
      </c>
      <c r="AJ90" s="86">
        <v>4</v>
      </c>
      <c r="AK90" s="86">
        <v>2</v>
      </c>
      <c r="AL90" s="86">
        <v>2</v>
      </c>
      <c r="AM90" s="84" t="s">
        <v>837</v>
      </c>
      <c r="AN90" s="84" t="s">
        <v>838</v>
      </c>
      <c r="AO90" s="84" t="s">
        <v>526</v>
      </c>
      <c r="AP90" s="68" t="s">
        <v>2227</v>
      </c>
      <c r="AQ90" s="84" t="s">
        <v>88</v>
      </c>
      <c r="AR90" s="114">
        <v>1</v>
      </c>
      <c r="AS90" s="86">
        <v>36</v>
      </c>
      <c r="AT90" s="87"/>
      <c r="AU90" s="90">
        <v>4</v>
      </c>
      <c r="AV90" s="88">
        <v>0.63157894736842113</v>
      </c>
      <c r="AW90" s="84" t="s">
        <v>1353</v>
      </c>
      <c r="AX90" s="117" t="s">
        <v>80</v>
      </c>
      <c r="AY90" s="86">
        <v>4</v>
      </c>
      <c r="AZ90" s="86">
        <v>1</v>
      </c>
      <c r="BA90" s="86">
        <v>36</v>
      </c>
      <c r="BB90" s="87"/>
      <c r="BC90" s="84" t="s">
        <v>1353</v>
      </c>
      <c r="BD90" s="93" t="s">
        <v>122</v>
      </c>
      <c r="BE90" s="84" t="s">
        <v>157</v>
      </c>
      <c r="BF90" s="93" t="s">
        <v>110</v>
      </c>
      <c r="BG90" s="110" t="s">
        <v>840</v>
      </c>
      <c r="BH90" s="84" t="s">
        <v>81</v>
      </c>
      <c r="BI90" s="84" t="s">
        <v>841</v>
      </c>
      <c r="BJ90" s="89">
        <f>BK90/12</f>
        <v>3.1666666666666665</v>
      </c>
      <c r="BK90" s="84">
        <v>38</v>
      </c>
      <c r="BL90" s="84">
        <v>2</v>
      </c>
      <c r="BM90" s="88">
        <v>0.16666666666666666</v>
      </c>
      <c r="BN90" s="84" t="s">
        <v>389</v>
      </c>
      <c r="BO90" s="84" t="s">
        <v>382</v>
      </c>
      <c r="BP90" s="84" t="s">
        <v>64</v>
      </c>
      <c r="BR90" s="81" t="s">
        <v>2195</v>
      </c>
      <c r="BS90" s="81" t="s">
        <v>2133</v>
      </c>
      <c r="BU90" s="86"/>
      <c r="BV90" s="86"/>
      <c r="BW90" s="90"/>
      <c r="BX90" s="86"/>
      <c r="BY90" s="86"/>
      <c r="CC90" s="86"/>
      <c r="CD90" s="86"/>
      <c r="CE90" s="90"/>
      <c r="CF90" s="86"/>
      <c r="CG90" s="86"/>
      <c r="CK90" s="86"/>
      <c r="CL90" s="86"/>
      <c r="CM90" s="86"/>
      <c r="CN90" s="86"/>
      <c r="CO90" s="86"/>
      <c r="CR90" s="84" t="s">
        <v>573</v>
      </c>
      <c r="CS90" s="66">
        <v>3.8454545454545399</v>
      </c>
      <c r="CT90" s="66">
        <v>4.7727272727270176E-2</v>
      </c>
      <c r="CU90" s="66">
        <f>CT90*SQRT(4)</f>
        <v>9.5454545454540352E-2</v>
      </c>
      <c r="CV90" s="87" t="s">
        <v>1354</v>
      </c>
      <c r="CW90" s="86">
        <v>4</v>
      </c>
      <c r="CX90" s="168" t="s">
        <v>2194</v>
      </c>
      <c r="CY90" s="169" t="s">
        <v>2196</v>
      </c>
      <c r="CZ90" s="84" t="s">
        <v>80</v>
      </c>
      <c r="DA90" s="66">
        <v>3.76136363636363</v>
      </c>
      <c r="DB90" s="66">
        <v>5.4545454545460004E-2</v>
      </c>
      <c r="DC90" s="66">
        <f>DB90*SQRT(4)</f>
        <v>0.10909090909092001</v>
      </c>
      <c r="DD90" s="167" t="s">
        <v>1354</v>
      </c>
      <c r="DE90" s="82">
        <v>4</v>
      </c>
      <c r="DF90" s="84" t="s">
        <v>2194</v>
      </c>
      <c r="DG90" s="166" t="s">
        <v>2196</v>
      </c>
      <c r="DH90" s="84" t="s">
        <v>573</v>
      </c>
      <c r="DI90" s="66">
        <v>3.8363636363636302</v>
      </c>
      <c r="DJ90" s="66">
        <v>2.0454545454549944E-2</v>
      </c>
      <c r="DK90" s="66">
        <f>DJ90*SQRT(4)</f>
        <v>4.0909090909099888E-2</v>
      </c>
      <c r="DL90" s="167" t="s">
        <v>1354</v>
      </c>
      <c r="DM90" s="82">
        <v>4</v>
      </c>
      <c r="DN90" s="84" t="s">
        <v>2194</v>
      </c>
      <c r="DO90" s="166" t="s">
        <v>2196</v>
      </c>
      <c r="DP90" s="84" t="s">
        <v>80</v>
      </c>
      <c r="DQ90" s="66">
        <v>3.7386363636363602</v>
      </c>
      <c r="DR90" s="66">
        <v>2.9545454545449878E-2</v>
      </c>
      <c r="DS90" s="66">
        <f>DR90*SQRT(4)</f>
        <v>5.9090909090899757E-2</v>
      </c>
      <c r="DT90" s="167" t="s">
        <v>1354</v>
      </c>
      <c r="DU90" s="82">
        <v>4</v>
      </c>
      <c r="DV90" s="168" t="s">
        <v>2194</v>
      </c>
      <c r="DW90" s="169" t="s">
        <v>2196</v>
      </c>
      <c r="DX90" s="84" t="s">
        <v>1747</v>
      </c>
      <c r="DY90" s="86">
        <f>DI90-CS90</f>
        <v>-9.0909090909097046E-3</v>
      </c>
      <c r="DZ90" s="86"/>
      <c r="EA90" s="86">
        <f>SQRT((CU90^2)+(DK90^2))</f>
        <v>0.1038514514435976</v>
      </c>
      <c r="EB90" s="87" t="s">
        <v>1354</v>
      </c>
      <c r="EC90" s="86">
        <v>4</v>
      </c>
      <c r="ED90" s="84" t="s">
        <v>1743</v>
      </c>
      <c r="EE90" s="84" t="s">
        <v>1744</v>
      </c>
      <c r="EF90" s="84" t="s">
        <v>1746</v>
      </c>
      <c r="EG90" s="86">
        <f>DQ90-DA90</f>
        <v>-2.2727272727269821E-2</v>
      </c>
      <c r="EH90" s="86"/>
      <c r="EI90" s="86">
        <f>SQRT((DS90^2)+(DC90^2))</f>
        <v>0.12406676421778862</v>
      </c>
      <c r="EJ90" s="87" t="s">
        <v>1354</v>
      </c>
      <c r="EK90" s="86">
        <v>4</v>
      </c>
      <c r="EL90" s="84" t="s">
        <v>1743</v>
      </c>
      <c r="EM90" s="84" t="s">
        <v>1745</v>
      </c>
      <c r="EN90" s="86">
        <f>DY90</f>
        <v>-9.0909090909097046E-3</v>
      </c>
      <c r="EO90" s="86">
        <f t="shared" ref="EO90:EQ91" si="96">EA90</f>
        <v>0.1038514514435976</v>
      </c>
      <c r="EP90" s="86" t="str">
        <f t="shared" si="96"/>
        <v>36</v>
      </c>
      <c r="EQ90" s="86">
        <f t="shared" si="96"/>
        <v>4</v>
      </c>
      <c r="ER90" s="86">
        <f>EG90</f>
        <v>-2.2727272727269821E-2</v>
      </c>
      <c r="ES90" s="86">
        <f t="shared" ref="ES90:EU91" si="97">EI90</f>
        <v>0.12406676421778862</v>
      </c>
      <c r="ET90" s="86" t="str">
        <f t="shared" si="97"/>
        <v>36</v>
      </c>
      <c r="EU90" s="86">
        <f t="shared" si="97"/>
        <v>4</v>
      </c>
      <c r="EV90" s="86">
        <f>SQRT((((EP90-1)*EO90^2)+((ET90-1)*ES90^2))/((EP90+ET90)-2))</f>
        <v>0.11440648135139518</v>
      </c>
      <c r="EW90" s="86">
        <f>(EN90-ER90)/EV90</f>
        <v>0.11919222997931857</v>
      </c>
      <c r="EX90" s="86">
        <f>((EQ90+EU90)/(EQ90*EU90))+((EW90^2)/(2*(EP90+ET90)))</f>
        <v>0.50009865824782951</v>
      </c>
      <c r="EY90" s="86">
        <f>1-(3/((4*(EP90+ET90-2))-1))</f>
        <v>0.989247311827957</v>
      </c>
      <c r="EZ90" s="83">
        <f>EY90*EW90</f>
        <v>0.11791059309782052</v>
      </c>
      <c r="FA90" s="83">
        <f>(EY90^2)*EX90</f>
        <v>0.48940166995139661</v>
      </c>
      <c r="FB90" s="83">
        <f>EQ90+EU90</f>
        <v>8</v>
      </c>
      <c r="FC90" s="84" t="s">
        <v>385</v>
      </c>
    </row>
    <row r="91" spans="1:159" s="84" customFormat="1" ht="17.100000000000001" customHeight="1">
      <c r="A91" s="78" t="s">
        <v>1798</v>
      </c>
      <c r="B91" s="81" t="s">
        <v>1920</v>
      </c>
      <c r="C91" s="80" t="str">
        <f t="shared" si="71"/>
        <v>Hutchinson, T. F., Boerner, R. E., Sutherland, S., Sutherland, E. K., Ortt, M., &amp; Iverson, L. R.  2005.  Prescribed fire effects on the herbaceous layer of mixed-oak forests. Canadian Journal of Forest Research. 35: 877-890.</v>
      </c>
      <c r="D91" s="81" t="s">
        <v>1470</v>
      </c>
      <c r="E91" s="81">
        <v>2005</v>
      </c>
      <c r="F91" s="91" t="s">
        <v>830</v>
      </c>
      <c r="G91" s="91" t="s">
        <v>173</v>
      </c>
      <c r="H91" s="91">
        <v>35</v>
      </c>
      <c r="I91" s="92" t="s">
        <v>831</v>
      </c>
      <c r="J91" s="81"/>
      <c r="K91" s="91" t="s">
        <v>832</v>
      </c>
      <c r="L91" s="84" t="s">
        <v>18</v>
      </c>
      <c r="M91" s="95" t="s">
        <v>73</v>
      </c>
      <c r="N91" s="84" t="s">
        <v>389</v>
      </c>
      <c r="P91" s="91" t="s">
        <v>16</v>
      </c>
      <c r="Q91" s="91" t="s">
        <v>677</v>
      </c>
      <c r="R91" s="91" t="s">
        <v>833</v>
      </c>
      <c r="S91" s="91"/>
      <c r="T91" s="91" t="s">
        <v>834</v>
      </c>
      <c r="U91" s="91" t="s">
        <v>835</v>
      </c>
      <c r="V91" s="91">
        <v>39.19</v>
      </c>
      <c r="W91" s="91">
        <v>-82.38</v>
      </c>
      <c r="X91" s="81"/>
      <c r="Y91" s="99" t="s">
        <v>2060</v>
      </c>
      <c r="Z91" s="66" t="s">
        <v>97</v>
      </c>
      <c r="AA91" s="93" t="s">
        <v>555</v>
      </c>
      <c r="AB91" s="84" t="s">
        <v>103</v>
      </c>
      <c r="AC91" s="81" t="s">
        <v>137</v>
      </c>
      <c r="AE91" s="84" t="s">
        <v>836</v>
      </c>
      <c r="AF91" s="84" t="s">
        <v>105</v>
      </c>
      <c r="AG91" s="84" t="s">
        <v>91</v>
      </c>
      <c r="AH91" s="84" t="s">
        <v>156</v>
      </c>
      <c r="AI91" s="84" t="s">
        <v>93</v>
      </c>
      <c r="AJ91" s="86">
        <v>4</v>
      </c>
      <c r="AK91" s="86">
        <v>4</v>
      </c>
      <c r="AL91" s="86">
        <v>4</v>
      </c>
      <c r="AM91" s="84" t="s">
        <v>837</v>
      </c>
      <c r="AN91" s="84" t="s">
        <v>838</v>
      </c>
      <c r="AO91" s="84" t="s">
        <v>526</v>
      </c>
      <c r="AP91" s="68" t="s">
        <v>2227</v>
      </c>
      <c r="AQ91" s="84" t="s">
        <v>88</v>
      </c>
      <c r="AR91" s="114">
        <v>1</v>
      </c>
      <c r="AS91" s="86">
        <v>36</v>
      </c>
      <c r="AT91" s="87"/>
      <c r="AU91" s="90">
        <v>4</v>
      </c>
      <c r="AV91" s="88">
        <v>1.2631578947368423</v>
      </c>
      <c r="AW91" s="84" t="s">
        <v>1353</v>
      </c>
      <c r="AX91" s="117" t="s">
        <v>80</v>
      </c>
      <c r="AY91" s="86">
        <v>4</v>
      </c>
      <c r="AZ91" s="86">
        <v>1</v>
      </c>
      <c r="BA91" s="86">
        <v>36</v>
      </c>
      <c r="BB91" s="87" t="s">
        <v>839</v>
      </c>
      <c r="BC91" s="84" t="s">
        <v>1353</v>
      </c>
      <c r="BD91" s="93" t="s">
        <v>122</v>
      </c>
      <c r="BE91" s="84" t="s">
        <v>157</v>
      </c>
      <c r="BF91" s="93" t="s">
        <v>110</v>
      </c>
      <c r="BG91" s="110" t="s">
        <v>840</v>
      </c>
      <c r="BH91" s="84" t="s">
        <v>81</v>
      </c>
      <c r="BI91" s="84" t="s">
        <v>841</v>
      </c>
      <c r="BJ91" s="89">
        <f>BK91/12</f>
        <v>3.1666666666666665</v>
      </c>
      <c r="BK91" s="84">
        <v>38</v>
      </c>
      <c r="BL91" s="84">
        <v>2</v>
      </c>
      <c r="BM91" s="88">
        <v>0.16666666666666666</v>
      </c>
      <c r="BN91" s="84" t="s">
        <v>389</v>
      </c>
      <c r="BO91" s="84" t="s">
        <v>382</v>
      </c>
      <c r="BP91" s="84" t="s">
        <v>64</v>
      </c>
      <c r="BR91" s="81" t="s">
        <v>2195</v>
      </c>
      <c r="BS91" s="81" t="s">
        <v>2133</v>
      </c>
      <c r="BU91" s="86"/>
      <c r="BV91" s="86"/>
      <c r="BW91" s="90"/>
      <c r="BX91" s="86"/>
      <c r="BY91" s="86"/>
      <c r="CC91" s="86"/>
      <c r="CD91" s="86"/>
      <c r="CE91" s="90"/>
      <c r="CF91" s="86"/>
      <c r="CG91" s="86"/>
      <c r="CK91" s="86"/>
      <c r="CL91" s="86"/>
      <c r="CM91" s="86"/>
      <c r="CN91" s="86"/>
      <c r="CO91" s="86"/>
      <c r="CR91" s="84" t="s">
        <v>418</v>
      </c>
      <c r="CS91" s="66">
        <v>3.8227272727272701</v>
      </c>
      <c r="CT91" s="66">
        <v>5.2272727272729913E-2</v>
      </c>
      <c r="CU91" s="66">
        <f>CT91*SQRT(4)</f>
        <v>0.10454545454545983</v>
      </c>
      <c r="CV91" s="87" t="s">
        <v>1354</v>
      </c>
      <c r="CW91" s="86">
        <v>4</v>
      </c>
      <c r="CX91" s="170" t="s">
        <v>2194</v>
      </c>
      <c r="CY91" s="169" t="s">
        <v>2196</v>
      </c>
      <c r="CZ91" s="84" t="s">
        <v>80</v>
      </c>
      <c r="DA91" s="66">
        <v>3.76136363636363</v>
      </c>
      <c r="DB91" s="66">
        <v>5.4545454545460004E-2</v>
      </c>
      <c r="DC91" s="66">
        <f>DB91*SQRT(4)</f>
        <v>0.10909090909092001</v>
      </c>
      <c r="DD91" s="167" t="s">
        <v>1354</v>
      </c>
      <c r="DE91" s="82">
        <v>4</v>
      </c>
      <c r="DF91" s="84" t="s">
        <v>2194</v>
      </c>
      <c r="DG91" s="166" t="s">
        <v>2196</v>
      </c>
      <c r="DH91" s="84" t="s">
        <v>418</v>
      </c>
      <c r="DI91" s="66">
        <v>3.8068181818181799</v>
      </c>
      <c r="DJ91" s="66">
        <v>2.9545454545450323E-2</v>
      </c>
      <c r="DK91" s="66">
        <f>DJ91*SQRT(4)</f>
        <v>5.9090909090900645E-2</v>
      </c>
      <c r="DL91" s="167" t="s">
        <v>1354</v>
      </c>
      <c r="DM91" s="82">
        <v>4</v>
      </c>
      <c r="DN91" s="84" t="s">
        <v>2194</v>
      </c>
      <c r="DO91" s="166" t="s">
        <v>2196</v>
      </c>
      <c r="DP91" s="84" t="s">
        <v>80</v>
      </c>
      <c r="DQ91" s="66">
        <v>3.7386363636363602</v>
      </c>
      <c r="DR91" s="66">
        <v>2.9545454545449878E-2</v>
      </c>
      <c r="DS91" s="66">
        <f>DR91*SQRT(4)</f>
        <v>5.9090909090899757E-2</v>
      </c>
      <c r="DT91" s="167" t="s">
        <v>1354</v>
      </c>
      <c r="DU91" s="82">
        <v>4</v>
      </c>
      <c r="DV91" s="170" t="s">
        <v>2194</v>
      </c>
      <c r="DW91" s="169" t="s">
        <v>2196</v>
      </c>
      <c r="DX91" s="84" t="s">
        <v>1747</v>
      </c>
      <c r="DY91" s="86">
        <f>DI91-CS91</f>
        <v>-1.5909090909090207E-2</v>
      </c>
      <c r="DZ91" s="86"/>
      <c r="EA91" s="86">
        <f>SQRT((CU91^2)+(DK91^2))</f>
        <v>0.12008949830566323</v>
      </c>
      <c r="EB91" s="87" t="s">
        <v>1354</v>
      </c>
      <c r="EC91" s="86">
        <v>4</v>
      </c>
      <c r="ED91" s="84" t="s">
        <v>1743</v>
      </c>
      <c r="EE91" s="84" t="s">
        <v>1744</v>
      </c>
      <c r="EF91" s="84" t="s">
        <v>1746</v>
      </c>
      <c r="EG91" s="86">
        <f>DQ91-DA91</f>
        <v>-2.2727272727269821E-2</v>
      </c>
      <c r="EH91" s="86"/>
      <c r="EI91" s="86">
        <f>SQRT((DS91^2)+(DC91^2))</f>
        <v>0.12406676421778862</v>
      </c>
      <c r="EJ91" s="87" t="s">
        <v>1354</v>
      </c>
      <c r="EK91" s="86">
        <v>4</v>
      </c>
      <c r="EL91" s="84" t="s">
        <v>1743</v>
      </c>
      <c r="EM91" s="84" t="s">
        <v>1745</v>
      </c>
      <c r="EN91" s="86">
        <f>DY91</f>
        <v>-1.5909090909090207E-2</v>
      </c>
      <c r="EO91" s="86">
        <f t="shared" si="96"/>
        <v>0.12008949830566323</v>
      </c>
      <c r="EP91" s="86" t="str">
        <f t="shared" si="96"/>
        <v>36</v>
      </c>
      <c r="EQ91" s="86">
        <f t="shared" si="96"/>
        <v>4</v>
      </c>
      <c r="ER91" s="86">
        <f>EG91</f>
        <v>-2.2727272727269821E-2</v>
      </c>
      <c r="ES91" s="86">
        <f t="shared" si="97"/>
        <v>0.12406676421778862</v>
      </c>
      <c r="ET91" s="86" t="str">
        <f t="shared" si="97"/>
        <v>36</v>
      </c>
      <c r="EU91" s="86">
        <f t="shared" si="97"/>
        <v>4</v>
      </c>
      <c r="EV91" s="86">
        <f>SQRT((((EP91-1)*EO91^2)+((ET91-1)*ES91^2))/((EP91+ET91)-2))</f>
        <v>0.12209432744148732</v>
      </c>
      <c r="EW91" s="86">
        <f>(EN91-ER91)/EV91</f>
        <v>5.5843559328726144E-2</v>
      </c>
      <c r="EX91" s="86">
        <f>((EQ91+EU91)/(EQ91*EU91))+((EW91^2)/(2*(EP91+ET91)))</f>
        <v>0.50002165627165629</v>
      </c>
      <c r="EY91" s="86">
        <f>1-(3/((4*(EP91+ET91-2))-1))</f>
        <v>0.989247311827957</v>
      </c>
      <c r="EZ91" s="83">
        <f>EY91*EW91</f>
        <v>5.524309094884737E-2</v>
      </c>
      <c r="FA91" s="83">
        <f>(EY91^2)*EX91</f>
        <v>0.48932631502870844</v>
      </c>
      <c r="FB91" s="83">
        <f>EQ91+EU91</f>
        <v>8</v>
      </c>
      <c r="FC91" s="84" t="s">
        <v>385</v>
      </c>
    </row>
    <row r="92" spans="1:159" s="84" customFormat="1" ht="17.100000000000001" customHeight="1">
      <c r="A92" s="78" t="s">
        <v>1814</v>
      </c>
      <c r="B92" s="81" t="s">
        <v>1950</v>
      </c>
      <c r="C92" s="80" t="str">
        <f t="shared" si="71"/>
        <v>Jacobs, K. A., Nix, B., &amp; Scharenbroch, B. C.  2015.  The Effects of Prescribed Burning on Soil and Litter Invertebrate Diversity and Abundance in an Illinois Oak Woodland. Natural Areas Journal. 35 (2): 318-327.</v>
      </c>
      <c r="D92" s="81" t="s">
        <v>1484</v>
      </c>
      <c r="E92" s="81">
        <v>2015</v>
      </c>
      <c r="F92" s="81" t="s">
        <v>1541</v>
      </c>
      <c r="G92" s="81" t="s">
        <v>659</v>
      </c>
      <c r="H92" s="81" t="s">
        <v>660</v>
      </c>
      <c r="I92" s="81" t="s">
        <v>661</v>
      </c>
      <c r="J92" s="84" t="s">
        <v>1580</v>
      </c>
      <c r="K92" s="84" t="s">
        <v>662</v>
      </c>
      <c r="L92" s="84" t="s">
        <v>101</v>
      </c>
      <c r="M92" s="83" t="s">
        <v>73</v>
      </c>
      <c r="N92" s="84" t="s">
        <v>389</v>
      </c>
      <c r="P92" s="81" t="s">
        <v>16</v>
      </c>
      <c r="Q92" s="84" t="s">
        <v>334</v>
      </c>
      <c r="R92" s="84" t="s">
        <v>663</v>
      </c>
      <c r="T92" s="81" t="s">
        <v>1397</v>
      </c>
      <c r="U92" s="81" t="s">
        <v>1398</v>
      </c>
      <c r="V92" s="81">
        <v>41.8</v>
      </c>
      <c r="W92" s="81">
        <v>-88.1</v>
      </c>
      <c r="X92" s="81"/>
      <c r="Y92" s="66" t="s">
        <v>1896</v>
      </c>
      <c r="Z92" s="66" t="s">
        <v>2203</v>
      </c>
      <c r="AA92" s="65" t="s">
        <v>555</v>
      </c>
      <c r="AB92" s="84" t="s">
        <v>64</v>
      </c>
      <c r="AC92" s="81" t="s">
        <v>235</v>
      </c>
      <c r="AD92" s="84" t="s">
        <v>64</v>
      </c>
      <c r="AF92" s="84" t="s">
        <v>156</v>
      </c>
      <c r="AG92" s="84" t="s">
        <v>92</v>
      </c>
      <c r="AH92" s="84" t="s">
        <v>106</v>
      </c>
      <c r="AI92" s="84" t="s">
        <v>93</v>
      </c>
      <c r="AJ92" s="86">
        <v>1</v>
      </c>
      <c r="AK92" s="87" t="s">
        <v>145</v>
      </c>
      <c r="AL92" s="87" t="s">
        <v>312</v>
      </c>
      <c r="AM92" s="84" t="s">
        <v>64</v>
      </c>
      <c r="AN92" s="84" t="s">
        <v>664</v>
      </c>
      <c r="AO92" s="84" t="s">
        <v>2107</v>
      </c>
      <c r="AP92" s="68" t="s">
        <v>2228</v>
      </c>
      <c r="AQ92" s="84" t="s">
        <v>94</v>
      </c>
      <c r="AR92" s="86">
        <v>1</v>
      </c>
      <c r="AS92" s="86">
        <v>10</v>
      </c>
      <c r="AT92" s="86">
        <v>15</v>
      </c>
      <c r="AU92" s="121">
        <v>24</v>
      </c>
      <c r="AV92" s="88">
        <v>0.25</v>
      </c>
      <c r="AW92" s="84" t="s">
        <v>665</v>
      </c>
      <c r="AX92" s="117" t="s">
        <v>80</v>
      </c>
      <c r="AY92" s="86">
        <v>1</v>
      </c>
      <c r="AZ92" s="86">
        <v>1</v>
      </c>
      <c r="BA92" s="86">
        <v>20</v>
      </c>
      <c r="BB92" s="86">
        <v>15</v>
      </c>
      <c r="BC92" s="84" t="s">
        <v>666</v>
      </c>
      <c r="BD92" s="93" t="s">
        <v>123</v>
      </c>
      <c r="BE92" s="84" t="s">
        <v>157</v>
      </c>
      <c r="BF92" s="93" t="s">
        <v>120</v>
      </c>
      <c r="BG92" s="84" t="s">
        <v>21</v>
      </c>
      <c r="BH92" s="84" t="s">
        <v>81</v>
      </c>
      <c r="BI92" s="84" t="s">
        <v>667</v>
      </c>
      <c r="BJ92" s="89">
        <f t="shared" si="95"/>
        <v>24</v>
      </c>
      <c r="BK92" s="111" t="s">
        <v>668</v>
      </c>
      <c r="BL92" s="111" t="s">
        <v>669</v>
      </c>
      <c r="BM92" s="88">
        <v>1.5</v>
      </c>
      <c r="BN92" s="84" t="s">
        <v>379</v>
      </c>
      <c r="BO92" s="84" t="s">
        <v>670</v>
      </c>
      <c r="BP92" s="84" t="s">
        <v>64</v>
      </c>
      <c r="BQ92" s="84" t="s">
        <v>671</v>
      </c>
      <c r="BR92" s="84" t="s">
        <v>1891</v>
      </c>
      <c r="BS92" s="84" t="s">
        <v>2169</v>
      </c>
      <c r="BT92" s="84" t="s">
        <v>672</v>
      </c>
      <c r="BU92" s="86">
        <v>0.43</v>
      </c>
      <c r="BV92" s="86">
        <v>0.08</v>
      </c>
      <c r="BW92" s="90">
        <v>0.25298221281347039</v>
      </c>
      <c r="BX92" s="86">
        <v>10</v>
      </c>
      <c r="BY92" s="86">
        <v>10</v>
      </c>
      <c r="BZ92" s="84" t="s">
        <v>159</v>
      </c>
      <c r="CA92" s="84" t="s">
        <v>1364</v>
      </c>
      <c r="CB92" s="84" t="s">
        <v>80</v>
      </c>
      <c r="CC92" s="86">
        <v>0.46</v>
      </c>
      <c r="CD92" s="86">
        <v>0.06</v>
      </c>
      <c r="CE92" s="69">
        <v>0.26832815729997478</v>
      </c>
      <c r="CF92" s="86">
        <v>20</v>
      </c>
      <c r="CG92" s="86">
        <v>20</v>
      </c>
      <c r="CH92" s="84" t="s">
        <v>159</v>
      </c>
      <c r="CI92" s="84" t="s">
        <v>1364</v>
      </c>
      <c r="CK92" s="86"/>
      <c r="CL92" s="86"/>
      <c r="CM92" s="86"/>
      <c r="CN92" s="86"/>
      <c r="CO92" s="86"/>
      <c r="CS92" s="86"/>
      <c r="CT92" s="86"/>
      <c r="CU92" s="86"/>
      <c r="CV92" s="86"/>
      <c r="CW92" s="86"/>
      <c r="CY92" s="166"/>
      <c r="DA92" s="82"/>
      <c r="DB92" s="82"/>
      <c r="DC92" s="82"/>
      <c r="DD92" s="82"/>
      <c r="DE92" s="82"/>
      <c r="DG92" s="166"/>
      <c r="DI92" s="82"/>
      <c r="DJ92" s="82"/>
      <c r="DK92" s="138"/>
      <c r="DL92" s="82"/>
      <c r="DM92" s="82"/>
      <c r="DN92" s="82"/>
      <c r="DO92" s="166"/>
      <c r="DQ92" s="82"/>
      <c r="DR92" s="82"/>
      <c r="DS92" s="82"/>
      <c r="DT92" s="82"/>
      <c r="DU92" s="82"/>
      <c r="DW92" s="166"/>
      <c r="DY92" s="86"/>
      <c r="DZ92" s="86"/>
      <c r="EA92" s="86"/>
      <c r="EB92" s="86"/>
      <c r="EC92" s="86"/>
      <c r="EG92" s="86"/>
      <c r="EH92" s="86"/>
      <c r="EI92" s="86"/>
      <c r="EJ92" s="86"/>
      <c r="EK92" s="86"/>
      <c r="EN92" s="86">
        <f t="shared" ref="EN92:EN103" si="98">BU92</f>
        <v>0.43</v>
      </c>
      <c r="EO92" s="90">
        <f t="shared" ref="EO92:EO103" si="99">BW92</f>
        <v>0.25298221281347039</v>
      </c>
      <c r="EP92" s="86">
        <f t="shared" ref="EP92:EP103" si="100">BX92</f>
        <v>10</v>
      </c>
      <c r="EQ92" s="86">
        <f t="shared" ref="EQ92:EQ103" si="101">BY92</f>
        <v>10</v>
      </c>
      <c r="ER92" s="86">
        <f t="shared" ref="ER92:ER103" si="102">CC92</f>
        <v>0.46</v>
      </c>
      <c r="ES92" s="90">
        <f t="shared" ref="ES92:ES103" si="103">CE92</f>
        <v>0.26832815729997478</v>
      </c>
      <c r="ET92" s="86">
        <f t="shared" ref="ET92:ET103" si="104">CF92</f>
        <v>20</v>
      </c>
      <c r="EU92" s="86">
        <f t="shared" ref="EU92:EU103" si="105">CG92</f>
        <v>20</v>
      </c>
      <c r="EV92" s="86">
        <f t="shared" si="64"/>
        <v>0.26349301969610395</v>
      </c>
      <c r="EW92" s="86">
        <f t="shared" si="65"/>
        <v>-0.11385500851066231</v>
      </c>
      <c r="EX92" s="86">
        <f t="shared" si="66"/>
        <v>0.15021604938271604</v>
      </c>
      <c r="EY92" s="86">
        <f t="shared" si="67"/>
        <v>0.97297297297297303</v>
      </c>
      <c r="EZ92" s="83">
        <f t="shared" si="68"/>
        <v>-0.11077784611848225</v>
      </c>
      <c r="FA92" s="83">
        <f t="shared" si="69"/>
        <v>0.14220598977355736</v>
      </c>
      <c r="FB92" s="83">
        <f t="shared" si="70"/>
        <v>30</v>
      </c>
      <c r="FC92" s="84" t="s">
        <v>125</v>
      </c>
    </row>
    <row r="93" spans="1:159" s="84" customFormat="1" ht="17.100000000000001" customHeight="1">
      <c r="A93" s="78" t="s">
        <v>1814</v>
      </c>
      <c r="B93" s="81" t="s">
        <v>1951</v>
      </c>
      <c r="C93" s="80" t="str">
        <f t="shared" si="71"/>
        <v>Jacobs, K. A., Nix, B., &amp; Scharenbroch, B. C.  2015.  The Effects of Prescribed Burning on Soil and Litter Invertebrate Diversity and Abundance in an Illinois Oak Woodland. Natural Areas Journal. 35 (2): 318-327.</v>
      </c>
      <c r="D93" s="81" t="s">
        <v>1484</v>
      </c>
      <c r="E93" s="81">
        <v>2015</v>
      </c>
      <c r="F93" s="81" t="s">
        <v>1541</v>
      </c>
      <c r="G93" s="81" t="s">
        <v>659</v>
      </c>
      <c r="H93" s="81" t="s">
        <v>660</v>
      </c>
      <c r="I93" s="81" t="s">
        <v>661</v>
      </c>
      <c r="J93" s="84" t="s">
        <v>1580</v>
      </c>
      <c r="K93" s="84" t="s">
        <v>662</v>
      </c>
      <c r="L93" s="84" t="s">
        <v>101</v>
      </c>
      <c r="M93" s="83" t="s">
        <v>73</v>
      </c>
      <c r="N93" s="84" t="s">
        <v>389</v>
      </c>
      <c r="P93" s="81" t="s">
        <v>16</v>
      </c>
      <c r="Q93" s="84" t="s">
        <v>334</v>
      </c>
      <c r="R93" s="84" t="s">
        <v>663</v>
      </c>
      <c r="T93" s="81" t="s">
        <v>1397</v>
      </c>
      <c r="U93" s="81" t="s">
        <v>1398</v>
      </c>
      <c r="V93" s="81">
        <v>41.8</v>
      </c>
      <c r="W93" s="81">
        <v>-88.1</v>
      </c>
      <c r="X93" s="81"/>
      <c r="Y93" s="66" t="s">
        <v>1896</v>
      </c>
      <c r="Z93" s="66" t="s">
        <v>2203</v>
      </c>
      <c r="AA93" s="65" t="s">
        <v>555</v>
      </c>
      <c r="AB93" s="84" t="s">
        <v>64</v>
      </c>
      <c r="AC93" s="81" t="s">
        <v>235</v>
      </c>
      <c r="AD93" s="84" t="s">
        <v>64</v>
      </c>
      <c r="AF93" s="84" t="s">
        <v>156</v>
      </c>
      <c r="AG93" s="84" t="s">
        <v>92</v>
      </c>
      <c r="AH93" s="84" t="s">
        <v>106</v>
      </c>
      <c r="AI93" s="84" t="s">
        <v>93</v>
      </c>
      <c r="AJ93" s="86">
        <v>1</v>
      </c>
      <c r="AK93" s="87" t="s">
        <v>145</v>
      </c>
      <c r="AL93" s="87" t="s">
        <v>312</v>
      </c>
      <c r="AM93" s="84" t="s">
        <v>64</v>
      </c>
      <c r="AN93" s="84" t="s">
        <v>664</v>
      </c>
      <c r="AO93" s="84" t="s">
        <v>2107</v>
      </c>
      <c r="AP93" s="68" t="s">
        <v>2228</v>
      </c>
      <c r="AQ93" s="84" t="s">
        <v>94</v>
      </c>
      <c r="AR93" s="86">
        <v>1</v>
      </c>
      <c r="AS93" s="86">
        <v>10</v>
      </c>
      <c r="AT93" s="86">
        <v>3</v>
      </c>
      <c r="AU93" s="121">
        <v>24</v>
      </c>
      <c r="AV93" s="88">
        <v>0.25</v>
      </c>
      <c r="AW93" s="84" t="s">
        <v>673</v>
      </c>
      <c r="AX93" s="166" t="s">
        <v>80</v>
      </c>
      <c r="AY93" s="86">
        <v>1</v>
      </c>
      <c r="AZ93" s="86">
        <v>1</v>
      </c>
      <c r="BA93" s="86">
        <v>20</v>
      </c>
      <c r="BB93" s="86">
        <v>3</v>
      </c>
      <c r="BC93" s="84" t="s">
        <v>674</v>
      </c>
      <c r="BD93" s="93" t="s">
        <v>123</v>
      </c>
      <c r="BE93" s="84" t="s">
        <v>157</v>
      </c>
      <c r="BF93" s="93" t="s">
        <v>120</v>
      </c>
      <c r="BG93" s="84" t="s">
        <v>21</v>
      </c>
      <c r="BH93" s="84" t="s">
        <v>81</v>
      </c>
      <c r="BI93" s="84" t="s">
        <v>667</v>
      </c>
      <c r="BJ93" s="89">
        <f t="shared" si="95"/>
        <v>24</v>
      </c>
      <c r="BK93" s="171" t="s">
        <v>668</v>
      </c>
      <c r="BL93" s="111" t="s">
        <v>669</v>
      </c>
      <c r="BM93" s="88">
        <v>1.5833333333333333</v>
      </c>
      <c r="BN93" s="84" t="s">
        <v>379</v>
      </c>
      <c r="BO93" s="84" t="s">
        <v>675</v>
      </c>
      <c r="BP93" s="84" t="s">
        <v>64</v>
      </c>
      <c r="BQ93" s="84" t="s">
        <v>671</v>
      </c>
      <c r="BR93" s="84" t="s">
        <v>1892</v>
      </c>
      <c r="BS93" s="84" t="s">
        <v>2170</v>
      </c>
      <c r="BT93" s="84" t="s">
        <v>672</v>
      </c>
      <c r="BU93" s="86">
        <v>0.78</v>
      </c>
      <c r="BV93" s="86">
        <v>7.0000000000000007E-2</v>
      </c>
      <c r="BW93" s="90">
        <v>0.22135943621178658</v>
      </c>
      <c r="BX93" s="86">
        <v>10</v>
      </c>
      <c r="BY93" s="86">
        <v>10</v>
      </c>
      <c r="BZ93" s="84" t="s">
        <v>159</v>
      </c>
      <c r="CA93" s="84" t="s">
        <v>1364</v>
      </c>
      <c r="CB93" s="84" t="s">
        <v>80</v>
      </c>
      <c r="CC93" s="86">
        <v>0.74</v>
      </c>
      <c r="CD93" s="86">
        <v>0.06</v>
      </c>
      <c r="CE93" s="90">
        <v>0.26832815729997478</v>
      </c>
      <c r="CF93" s="86">
        <v>20</v>
      </c>
      <c r="CG93" s="86">
        <v>20</v>
      </c>
      <c r="CH93" s="84" t="s">
        <v>159</v>
      </c>
      <c r="CI93" s="84" t="s">
        <v>1364</v>
      </c>
      <c r="CK93" s="86"/>
      <c r="CL93" s="86"/>
      <c r="CM93" s="86"/>
      <c r="CN93" s="86"/>
      <c r="CO93" s="86"/>
      <c r="CS93" s="86"/>
      <c r="CT93" s="86"/>
      <c r="CU93" s="86"/>
      <c r="CV93" s="86"/>
      <c r="CW93" s="86"/>
      <c r="CY93" s="166"/>
      <c r="DA93" s="82"/>
      <c r="DB93" s="82"/>
      <c r="DC93" s="82"/>
      <c r="DD93" s="82"/>
      <c r="DE93" s="82"/>
      <c r="DG93" s="166"/>
      <c r="DI93" s="82"/>
      <c r="DJ93" s="82"/>
      <c r="DK93" s="138"/>
      <c r="DL93" s="82"/>
      <c r="DM93" s="82"/>
      <c r="DN93" s="82"/>
      <c r="DO93" s="166"/>
      <c r="DQ93" s="82"/>
      <c r="DR93" s="82"/>
      <c r="DS93" s="82"/>
      <c r="DT93" s="82"/>
      <c r="DU93" s="82"/>
      <c r="DW93" s="166"/>
      <c r="DY93" s="86"/>
      <c r="DZ93" s="86"/>
      <c r="EA93" s="86"/>
      <c r="EB93" s="86"/>
      <c r="EC93" s="86"/>
      <c r="EG93" s="86"/>
      <c r="EH93" s="86"/>
      <c r="EI93" s="86"/>
      <c r="EJ93" s="86"/>
      <c r="EK93" s="86"/>
      <c r="EN93" s="86">
        <f t="shared" si="98"/>
        <v>0.78</v>
      </c>
      <c r="EO93" s="90">
        <f t="shared" si="99"/>
        <v>0.22135943621178658</v>
      </c>
      <c r="EP93" s="86">
        <f t="shared" si="100"/>
        <v>10</v>
      </c>
      <c r="EQ93" s="86">
        <f t="shared" si="101"/>
        <v>10</v>
      </c>
      <c r="ER93" s="86">
        <f t="shared" si="102"/>
        <v>0.74</v>
      </c>
      <c r="ES93" s="90">
        <f t="shared" si="103"/>
        <v>0.26832815729997478</v>
      </c>
      <c r="ET93" s="86">
        <f t="shared" si="104"/>
        <v>20</v>
      </c>
      <c r="EU93" s="86">
        <f t="shared" si="105"/>
        <v>20</v>
      </c>
      <c r="EV93" s="86">
        <f t="shared" si="64"/>
        <v>0.25417935175214934</v>
      </c>
      <c r="EW93" s="86">
        <f t="shared" si="65"/>
        <v>0.15736919511465311</v>
      </c>
      <c r="EX93" s="86">
        <f t="shared" si="66"/>
        <v>0.15041275105951724</v>
      </c>
      <c r="EY93" s="86">
        <f t="shared" si="67"/>
        <v>0.97297297297297303</v>
      </c>
      <c r="EZ93" s="83">
        <f t="shared" si="68"/>
        <v>0.1531159736250679</v>
      </c>
      <c r="FA93" s="83">
        <f t="shared" si="69"/>
        <v>0.14239220261003241</v>
      </c>
      <c r="FB93" s="83">
        <f t="shared" si="70"/>
        <v>30</v>
      </c>
      <c r="FC93" s="84" t="s">
        <v>125</v>
      </c>
    </row>
    <row r="94" spans="1:159" s="84" customFormat="1" ht="17.100000000000001" customHeight="1">
      <c r="A94" s="78" t="s">
        <v>1814</v>
      </c>
      <c r="B94" s="81" t="s">
        <v>1952</v>
      </c>
      <c r="C94" s="80" t="str">
        <f t="shared" si="71"/>
        <v>Jacobs, K. A., Nix, B., &amp; Scharenbroch, B. C.  2015.  The Effects of Prescribed Burning on Soil and Litter Invertebrate Diversity and Abundance in an Illinois Oak Woodland. Natural Areas Journal. 35 (2): 318-327.</v>
      </c>
      <c r="D94" s="81" t="s">
        <v>1484</v>
      </c>
      <c r="E94" s="81">
        <v>2015</v>
      </c>
      <c r="F94" s="81" t="s">
        <v>1541</v>
      </c>
      <c r="G94" s="81" t="s">
        <v>659</v>
      </c>
      <c r="H94" s="81" t="s">
        <v>660</v>
      </c>
      <c r="I94" s="81" t="s">
        <v>661</v>
      </c>
      <c r="J94" s="84" t="s">
        <v>1580</v>
      </c>
      <c r="K94" s="84" t="s">
        <v>662</v>
      </c>
      <c r="L94" s="84" t="s">
        <v>101</v>
      </c>
      <c r="M94" s="83" t="s">
        <v>73</v>
      </c>
      <c r="N94" s="84" t="s">
        <v>389</v>
      </c>
      <c r="P94" s="81" t="s">
        <v>16</v>
      </c>
      <c r="Q94" s="84" t="s">
        <v>334</v>
      </c>
      <c r="R94" s="84" t="s">
        <v>663</v>
      </c>
      <c r="T94" s="81" t="s">
        <v>1397</v>
      </c>
      <c r="U94" s="81" t="s">
        <v>1398</v>
      </c>
      <c r="V94" s="81">
        <v>41.8</v>
      </c>
      <c r="W94" s="81">
        <v>-88.1</v>
      </c>
      <c r="X94" s="81"/>
      <c r="Y94" s="66" t="s">
        <v>1896</v>
      </c>
      <c r="Z94" s="66" t="s">
        <v>2203</v>
      </c>
      <c r="AA94" s="65" t="s">
        <v>555</v>
      </c>
      <c r="AB94" s="84" t="s">
        <v>64</v>
      </c>
      <c r="AC94" s="81" t="s">
        <v>235</v>
      </c>
      <c r="AD94" s="84" t="s">
        <v>64</v>
      </c>
      <c r="AF94" s="84" t="s">
        <v>156</v>
      </c>
      <c r="AG94" s="84" t="s">
        <v>92</v>
      </c>
      <c r="AH94" s="84" t="s">
        <v>106</v>
      </c>
      <c r="AI94" s="84" t="s">
        <v>93</v>
      </c>
      <c r="AJ94" s="86">
        <v>1</v>
      </c>
      <c r="AK94" s="87" t="s">
        <v>405</v>
      </c>
      <c r="AL94" s="87" t="s">
        <v>405</v>
      </c>
      <c r="AM94" s="84" t="s">
        <v>64</v>
      </c>
      <c r="AN94" s="84" t="s">
        <v>664</v>
      </c>
      <c r="AO94" s="84" t="s">
        <v>2107</v>
      </c>
      <c r="AP94" s="68" t="s">
        <v>2228</v>
      </c>
      <c r="AQ94" s="84" t="s">
        <v>94</v>
      </c>
      <c r="AR94" s="86">
        <v>1</v>
      </c>
      <c r="AS94" s="86">
        <v>10</v>
      </c>
      <c r="AT94" s="86">
        <v>15</v>
      </c>
      <c r="AU94" s="121">
        <v>24</v>
      </c>
      <c r="AV94" s="88">
        <v>0.875</v>
      </c>
      <c r="AW94" s="84" t="s">
        <v>665</v>
      </c>
      <c r="AX94" s="117" t="s">
        <v>80</v>
      </c>
      <c r="AY94" s="86">
        <v>1</v>
      </c>
      <c r="AZ94" s="86">
        <v>1</v>
      </c>
      <c r="BA94" s="86">
        <v>20</v>
      </c>
      <c r="BB94" s="86">
        <v>15</v>
      </c>
      <c r="BC94" s="84" t="s">
        <v>666</v>
      </c>
      <c r="BD94" s="93" t="s">
        <v>123</v>
      </c>
      <c r="BE94" s="84" t="s">
        <v>157</v>
      </c>
      <c r="BF94" s="93" t="s">
        <v>120</v>
      </c>
      <c r="BG94" s="84" t="s">
        <v>21</v>
      </c>
      <c r="BH94" s="84" t="s">
        <v>81</v>
      </c>
      <c r="BI94" s="84" t="s">
        <v>667</v>
      </c>
      <c r="BJ94" s="89">
        <f t="shared" si="95"/>
        <v>24</v>
      </c>
      <c r="BK94" s="172" t="s">
        <v>668</v>
      </c>
      <c r="BL94" s="111" t="s">
        <v>669</v>
      </c>
      <c r="BM94" s="88">
        <v>1.6666666666666667</v>
      </c>
      <c r="BN94" s="84" t="s">
        <v>379</v>
      </c>
      <c r="BO94" s="84" t="s">
        <v>670</v>
      </c>
      <c r="BP94" s="84" t="s">
        <v>64</v>
      </c>
      <c r="BQ94" s="84" t="s">
        <v>671</v>
      </c>
      <c r="BR94" s="84" t="s">
        <v>1891</v>
      </c>
      <c r="BS94" s="84" t="s">
        <v>2169</v>
      </c>
      <c r="BT94" s="84" t="s">
        <v>676</v>
      </c>
      <c r="BU94" s="86">
        <v>0.46</v>
      </c>
      <c r="BV94" s="86">
        <v>0.7</v>
      </c>
      <c r="BW94" s="90">
        <v>2.2135943621178655</v>
      </c>
      <c r="BX94" s="86">
        <v>10</v>
      </c>
      <c r="BY94" s="86">
        <v>10</v>
      </c>
      <c r="BZ94" s="84" t="s">
        <v>159</v>
      </c>
      <c r="CA94" s="84" t="s">
        <v>1364</v>
      </c>
      <c r="CB94" s="84" t="s">
        <v>80</v>
      </c>
      <c r="CC94" s="86">
        <v>0.46</v>
      </c>
      <c r="CD94" s="86">
        <v>0.06</v>
      </c>
      <c r="CE94" s="69">
        <v>0.26832815729997478</v>
      </c>
      <c r="CF94" s="86">
        <v>20</v>
      </c>
      <c r="CG94" s="86">
        <v>20</v>
      </c>
      <c r="CH94" s="84" t="s">
        <v>159</v>
      </c>
      <c r="CI94" s="84" t="s">
        <v>1364</v>
      </c>
      <c r="CK94" s="86"/>
      <c r="CL94" s="86"/>
      <c r="CM94" s="86"/>
      <c r="CN94" s="86"/>
      <c r="CO94" s="86"/>
      <c r="CS94" s="86"/>
      <c r="CT94" s="86"/>
      <c r="CU94" s="86"/>
      <c r="CV94" s="86"/>
      <c r="CW94" s="86"/>
      <c r="CY94" s="166"/>
      <c r="DA94" s="82"/>
      <c r="DB94" s="82"/>
      <c r="DC94" s="82"/>
      <c r="DD94" s="82"/>
      <c r="DE94" s="82"/>
      <c r="DG94" s="166"/>
      <c r="DI94" s="82"/>
      <c r="DJ94" s="82"/>
      <c r="DK94" s="138"/>
      <c r="DL94" s="82"/>
      <c r="DM94" s="82"/>
      <c r="DN94" s="82"/>
      <c r="DO94" s="166"/>
      <c r="DQ94" s="82"/>
      <c r="DR94" s="82"/>
      <c r="DS94" s="82"/>
      <c r="DT94" s="82"/>
      <c r="DU94" s="82"/>
      <c r="DW94" s="166"/>
      <c r="DY94" s="86"/>
      <c r="DZ94" s="86"/>
      <c r="EA94" s="86"/>
      <c r="EB94" s="86"/>
      <c r="EC94" s="86"/>
      <c r="EG94" s="86"/>
      <c r="EH94" s="86"/>
      <c r="EI94" s="86"/>
      <c r="EJ94" s="86"/>
      <c r="EK94" s="86"/>
      <c r="EN94" s="86">
        <f t="shared" si="98"/>
        <v>0.46</v>
      </c>
      <c r="EO94" s="90">
        <f t="shared" si="99"/>
        <v>2.2135943621178655</v>
      </c>
      <c r="EP94" s="86">
        <f t="shared" si="100"/>
        <v>10</v>
      </c>
      <c r="EQ94" s="86">
        <f t="shared" si="101"/>
        <v>10</v>
      </c>
      <c r="ER94" s="86">
        <f t="shared" si="102"/>
        <v>0.46</v>
      </c>
      <c r="ES94" s="90">
        <f t="shared" si="103"/>
        <v>0.26832815729997478</v>
      </c>
      <c r="ET94" s="86">
        <f t="shared" si="104"/>
        <v>20</v>
      </c>
      <c r="EU94" s="86">
        <f t="shared" si="105"/>
        <v>20</v>
      </c>
      <c r="EV94" s="86">
        <f t="shared" si="64"/>
        <v>1.2743065341028206</v>
      </c>
      <c r="EW94" s="86">
        <f t="shared" si="65"/>
        <v>0</v>
      </c>
      <c r="EX94" s="86">
        <f t="shared" si="66"/>
        <v>0.15</v>
      </c>
      <c r="EY94" s="86">
        <f t="shared" si="67"/>
        <v>0.97297297297297303</v>
      </c>
      <c r="EZ94" s="83">
        <f t="shared" si="68"/>
        <v>0</v>
      </c>
      <c r="FA94" s="83">
        <f t="shared" si="69"/>
        <v>0.14200146092037985</v>
      </c>
      <c r="FB94" s="83">
        <f t="shared" si="70"/>
        <v>30</v>
      </c>
      <c r="FC94" s="84" t="s">
        <v>125</v>
      </c>
    </row>
    <row r="95" spans="1:159" s="84" customFormat="1" ht="17.100000000000001" customHeight="1">
      <c r="A95" s="78" t="s">
        <v>1814</v>
      </c>
      <c r="B95" s="81" t="s">
        <v>1953</v>
      </c>
      <c r="C95" s="80" t="str">
        <f t="shared" si="71"/>
        <v>Jacobs, K. A., Nix, B., &amp; Scharenbroch, B. C.  2015.  The Effects of Prescribed Burning on Soil and Litter Invertebrate Diversity and Abundance in an Illinois Oak Woodland. Natural Areas Journal. 35 (2): 318-327.</v>
      </c>
      <c r="D95" s="81" t="s">
        <v>1484</v>
      </c>
      <c r="E95" s="81">
        <v>2015</v>
      </c>
      <c r="F95" s="81" t="s">
        <v>1541</v>
      </c>
      <c r="G95" s="81" t="s">
        <v>659</v>
      </c>
      <c r="H95" s="81" t="s">
        <v>660</v>
      </c>
      <c r="I95" s="81" t="s">
        <v>661</v>
      </c>
      <c r="J95" s="84" t="s">
        <v>1580</v>
      </c>
      <c r="K95" s="84" t="s">
        <v>662</v>
      </c>
      <c r="L95" s="84" t="s">
        <v>101</v>
      </c>
      <c r="M95" s="83" t="s">
        <v>73</v>
      </c>
      <c r="N95" s="84" t="s">
        <v>389</v>
      </c>
      <c r="P95" s="81" t="s">
        <v>16</v>
      </c>
      <c r="Q95" s="84" t="s">
        <v>334</v>
      </c>
      <c r="R95" s="84" t="s">
        <v>663</v>
      </c>
      <c r="T95" s="81" t="s">
        <v>1397</v>
      </c>
      <c r="U95" s="81" t="s">
        <v>1398</v>
      </c>
      <c r="V95" s="81">
        <v>41.8</v>
      </c>
      <c r="W95" s="81">
        <v>-88.1</v>
      </c>
      <c r="X95" s="81"/>
      <c r="Y95" s="66" t="s">
        <v>1896</v>
      </c>
      <c r="Z95" s="66" t="s">
        <v>2203</v>
      </c>
      <c r="AA95" s="65" t="s">
        <v>555</v>
      </c>
      <c r="AB95" s="84" t="s">
        <v>64</v>
      </c>
      <c r="AC95" s="81" t="s">
        <v>235</v>
      </c>
      <c r="AD95" s="84" t="s">
        <v>64</v>
      </c>
      <c r="AF95" s="84" t="s">
        <v>156</v>
      </c>
      <c r="AG95" s="84" t="s">
        <v>92</v>
      </c>
      <c r="AH95" s="84" t="s">
        <v>106</v>
      </c>
      <c r="AI95" s="84" t="s">
        <v>93</v>
      </c>
      <c r="AJ95" s="86">
        <v>1</v>
      </c>
      <c r="AK95" s="87" t="s">
        <v>405</v>
      </c>
      <c r="AL95" s="87" t="s">
        <v>405</v>
      </c>
      <c r="AM95" s="84" t="s">
        <v>64</v>
      </c>
      <c r="AN95" s="84" t="s">
        <v>664</v>
      </c>
      <c r="AO95" s="84" t="s">
        <v>2107</v>
      </c>
      <c r="AP95" s="68" t="s">
        <v>2228</v>
      </c>
      <c r="AQ95" s="84" t="s">
        <v>94</v>
      </c>
      <c r="AR95" s="86">
        <v>1</v>
      </c>
      <c r="AS95" s="86">
        <v>10</v>
      </c>
      <c r="AT95" s="86">
        <v>3</v>
      </c>
      <c r="AU95" s="121">
        <v>24</v>
      </c>
      <c r="AV95" s="88">
        <v>0.875</v>
      </c>
      <c r="AW95" s="84" t="s">
        <v>673</v>
      </c>
      <c r="AX95" s="117" t="s">
        <v>80</v>
      </c>
      <c r="AY95" s="86">
        <v>1</v>
      </c>
      <c r="AZ95" s="86">
        <v>1</v>
      </c>
      <c r="BA95" s="86">
        <v>20</v>
      </c>
      <c r="BB95" s="86">
        <v>3</v>
      </c>
      <c r="BC95" s="84" t="s">
        <v>674</v>
      </c>
      <c r="BD95" s="93" t="s">
        <v>123</v>
      </c>
      <c r="BE95" s="84" t="s">
        <v>157</v>
      </c>
      <c r="BF95" s="93" t="s">
        <v>120</v>
      </c>
      <c r="BG95" s="84" t="s">
        <v>21</v>
      </c>
      <c r="BH95" s="84" t="s">
        <v>81</v>
      </c>
      <c r="BI95" s="84" t="s">
        <v>667</v>
      </c>
      <c r="BJ95" s="89">
        <f t="shared" si="95"/>
        <v>24</v>
      </c>
      <c r="BK95" s="111" t="s">
        <v>668</v>
      </c>
      <c r="BL95" s="111" t="s">
        <v>669</v>
      </c>
      <c r="BM95" s="88">
        <v>1.75</v>
      </c>
      <c r="BN95" s="84" t="s">
        <v>379</v>
      </c>
      <c r="BO95" s="84" t="s">
        <v>675</v>
      </c>
      <c r="BP95" s="84" t="s">
        <v>64</v>
      </c>
      <c r="BQ95" s="84" t="s">
        <v>671</v>
      </c>
      <c r="BR95" s="84" t="s">
        <v>1892</v>
      </c>
      <c r="BS95" s="84" t="s">
        <v>2170</v>
      </c>
      <c r="BT95" s="84" t="s">
        <v>676</v>
      </c>
      <c r="BU95" s="86">
        <v>0.73</v>
      </c>
      <c r="BV95" s="86">
        <v>7.0000000000000007E-2</v>
      </c>
      <c r="BW95" s="90">
        <v>0.22135943621178658</v>
      </c>
      <c r="BX95" s="86">
        <v>10</v>
      </c>
      <c r="BY95" s="86">
        <v>10</v>
      </c>
      <c r="BZ95" s="84" t="s">
        <v>159</v>
      </c>
      <c r="CA95" s="84" t="s">
        <v>1364</v>
      </c>
      <c r="CB95" s="84" t="s">
        <v>80</v>
      </c>
      <c r="CC95" s="86">
        <v>0.74</v>
      </c>
      <c r="CD95" s="86">
        <v>0.06</v>
      </c>
      <c r="CE95" s="90">
        <v>0.26832815729997478</v>
      </c>
      <c r="CF95" s="86">
        <v>20</v>
      </c>
      <c r="CG95" s="86">
        <v>20</v>
      </c>
      <c r="CH95" s="84" t="s">
        <v>159</v>
      </c>
      <c r="CI95" s="84" t="s">
        <v>1364</v>
      </c>
      <c r="CK95" s="86"/>
      <c r="CL95" s="86"/>
      <c r="CM95" s="86"/>
      <c r="CN95" s="86"/>
      <c r="CO95" s="86"/>
      <c r="CS95" s="86"/>
      <c r="CT95" s="86"/>
      <c r="CU95" s="86"/>
      <c r="CV95" s="86"/>
      <c r="CW95" s="86"/>
      <c r="CY95" s="166"/>
      <c r="DA95" s="82"/>
      <c r="DB95" s="82"/>
      <c r="DC95" s="82"/>
      <c r="DD95" s="82"/>
      <c r="DE95" s="82"/>
      <c r="DG95" s="166"/>
      <c r="DI95" s="82"/>
      <c r="DJ95" s="82"/>
      <c r="DK95" s="138"/>
      <c r="DL95" s="82"/>
      <c r="DM95" s="82"/>
      <c r="DN95" s="82"/>
      <c r="DO95" s="166"/>
      <c r="DQ95" s="82"/>
      <c r="DR95" s="82"/>
      <c r="DS95" s="82"/>
      <c r="DT95" s="82"/>
      <c r="DU95" s="82"/>
      <c r="DW95" s="166"/>
      <c r="DY95" s="86"/>
      <c r="DZ95" s="86"/>
      <c r="EA95" s="86"/>
      <c r="EB95" s="86"/>
      <c r="EC95" s="86"/>
      <c r="EG95" s="86"/>
      <c r="EH95" s="86"/>
      <c r="EI95" s="86"/>
      <c r="EJ95" s="86"/>
      <c r="EK95" s="86"/>
      <c r="EN95" s="86">
        <f t="shared" si="98"/>
        <v>0.73</v>
      </c>
      <c r="EO95" s="90">
        <f t="shared" si="99"/>
        <v>0.22135943621178658</v>
      </c>
      <c r="EP95" s="86">
        <f t="shared" si="100"/>
        <v>10</v>
      </c>
      <c r="EQ95" s="86">
        <f t="shared" si="101"/>
        <v>10</v>
      </c>
      <c r="ER95" s="86">
        <f t="shared" si="102"/>
        <v>0.74</v>
      </c>
      <c r="ES95" s="90">
        <f t="shared" si="103"/>
        <v>0.26832815729997478</v>
      </c>
      <c r="ET95" s="86">
        <f t="shared" si="104"/>
        <v>20</v>
      </c>
      <c r="EU95" s="86">
        <f t="shared" si="105"/>
        <v>20</v>
      </c>
      <c r="EV95" s="86">
        <f t="shared" si="64"/>
        <v>0.25417935175214934</v>
      </c>
      <c r="EW95" s="86">
        <f t="shared" si="65"/>
        <v>-3.9342298778663277E-2</v>
      </c>
      <c r="EX95" s="86">
        <f t="shared" si="66"/>
        <v>0.15002579694121981</v>
      </c>
      <c r="EY95" s="86">
        <f t="shared" si="67"/>
        <v>0.97297297297297303</v>
      </c>
      <c r="EZ95" s="83">
        <f t="shared" si="68"/>
        <v>-3.8278993406266976E-2</v>
      </c>
      <c r="FA95" s="83">
        <f t="shared" si="69"/>
        <v>0.14202588227598312</v>
      </c>
      <c r="FB95" s="83">
        <f t="shared" si="70"/>
        <v>30</v>
      </c>
      <c r="FC95" s="84" t="s">
        <v>125</v>
      </c>
    </row>
    <row r="96" spans="1:159" s="84" customFormat="1" ht="17.100000000000001" customHeight="1">
      <c r="A96" s="78" t="s">
        <v>1799</v>
      </c>
      <c r="B96" s="91" t="s">
        <v>1917</v>
      </c>
      <c r="C96" s="80" t="str">
        <f t="shared" si="71"/>
        <v>Kerns, B. K., Thies, W. G., &amp; Niwa, C. G.  2006.  Season and severity of prescribed burn in ponderosa pine forests: implications for understory native and exotic plants. Ecoscience. 13: 44-55.</v>
      </c>
      <c r="D96" s="81" t="s">
        <v>1471</v>
      </c>
      <c r="E96" s="81">
        <v>2006</v>
      </c>
      <c r="F96" s="91" t="s">
        <v>844</v>
      </c>
      <c r="G96" s="91" t="s">
        <v>845</v>
      </c>
      <c r="H96" s="91">
        <v>13</v>
      </c>
      <c r="I96" s="92" t="s">
        <v>846</v>
      </c>
      <c r="J96" s="81" t="s">
        <v>1823</v>
      </c>
      <c r="K96" s="91" t="s">
        <v>847</v>
      </c>
      <c r="L96" s="84" t="s">
        <v>101</v>
      </c>
      <c r="M96" s="95" t="s">
        <v>73</v>
      </c>
      <c r="N96" s="84" t="s">
        <v>389</v>
      </c>
      <c r="P96" s="91" t="s">
        <v>16</v>
      </c>
      <c r="Q96" s="91" t="s">
        <v>587</v>
      </c>
      <c r="R96" s="91" t="s">
        <v>848</v>
      </c>
      <c r="S96" s="91"/>
      <c r="T96" s="91" t="s">
        <v>849</v>
      </c>
      <c r="U96" s="91" t="s">
        <v>850</v>
      </c>
      <c r="V96" s="91">
        <v>43.83</v>
      </c>
      <c r="W96" s="91">
        <v>-118.85</v>
      </c>
      <c r="X96" s="81" t="s">
        <v>851</v>
      </c>
      <c r="Y96" s="104" t="s">
        <v>1990</v>
      </c>
      <c r="Z96" s="66" t="s">
        <v>2205</v>
      </c>
      <c r="AA96" s="93" t="s">
        <v>49</v>
      </c>
      <c r="AB96" s="84" t="s">
        <v>103</v>
      </c>
      <c r="AC96" s="81" t="s">
        <v>136</v>
      </c>
      <c r="AD96" s="84" t="s">
        <v>1267</v>
      </c>
      <c r="AE96" s="84" t="s">
        <v>852</v>
      </c>
      <c r="AF96" s="84" t="s">
        <v>87</v>
      </c>
      <c r="AG96" s="84" t="s">
        <v>91</v>
      </c>
      <c r="AH96" s="84" t="s">
        <v>106</v>
      </c>
      <c r="AI96" s="84" t="s">
        <v>93</v>
      </c>
      <c r="AJ96" s="86">
        <v>6</v>
      </c>
      <c r="AK96" s="86">
        <v>1</v>
      </c>
      <c r="AL96" s="86">
        <v>1</v>
      </c>
      <c r="AM96" s="84" t="s">
        <v>853</v>
      </c>
      <c r="AN96" s="84" t="s">
        <v>526</v>
      </c>
      <c r="AO96" s="84" t="s">
        <v>526</v>
      </c>
      <c r="AP96" s="68" t="s">
        <v>2227</v>
      </c>
      <c r="AQ96" s="84" t="s">
        <v>94</v>
      </c>
      <c r="AR96" s="108">
        <v>1</v>
      </c>
      <c r="AS96" s="86">
        <v>6</v>
      </c>
      <c r="AT96" s="87" t="s">
        <v>854</v>
      </c>
      <c r="AU96" s="90"/>
      <c r="AV96" s="88">
        <v>0.24489795918367349</v>
      </c>
      <c r="AX96" s="166" t="s">
        <v>80</v>
      </c>
      <c r="AY96" s="86">
        <v>6</v>
      </c>
      <c r="AZ96" s="86">
        <v>1</v>
      </c>
      <c r="BA96" s="86">
        <v>5</v>
      </c>
      <c r="BB96" s="87" t="s">
        <v>854</v>
      </c>
      <c r="BD96" s="93" t="s">
        <v>124</v>
      </c>
      <c r="BE96" s="84" t="s">
        <v>182</v>
      </c>
      <c r="BF96" s="93" t="s">
        <v>110</v>
      </c>
      <c r="BG96" s="110" t="s">
        <v>21</v>
      </c>
      <c r="BH96" s="84" t="s">
        <v>81</v>
      </c>
      <c r="BI96" s="84" t="s">
        <v>855</v>
      </c>
      <c r="BJ96" s="89">
        <f t="shared" si="95"/>
        <v>4.083333333333333</v>
      </c>
      <c r="BK96" s="84">
        <v>49</v>
      </c>
      <c r="BL96" s="84">
        <v>49</v>
      </c>
      <c r="BM96" s="88">
        <v>4.083333333333333</v>
      </c>
      <c r="BN96" s="84" t="s">
        <v>379</v>
      </c>
      <c r="BO96" s="84" t="s">
        <v>856</v>
      </c>
      <c r="BP96" s="84" t="s">
        <v>64</v>
      </c>
      <c r="BR96" s="84" t="s">
        <v>1954</v>
      </c>
      <c r="BS96" s="84" t="s">
        <v>2136</v>
      </c>
      <c r="BT96" s="84" t="s">
        <v>1254</v>
      </c>
      <c r="BU96" s="86">
        <v>5.7167081447500001</v>
      </c>
      <c r="BV96" s="86"/>
      <c r="BW96" s="90">
        <v>3.810682770843675</v>
      </c>
      <c r="BX96" s="86">
        <v>6</v>
      </c>
      <c r="BY96" s="86">
        <v>6</v>
      </c>
      <c r="BZ96" s="84" t="s">
        <v>1758</v>
      </c>
      <c r="CA96" s="84" t="s">
        <v>1860</v>
      </c>
      <c r="CB96" s="84" t="s">
        <v>80</v>
      </c>
      <c r="CC96" s="86">
        <v>5.6225226245000002</v>
      </c>
      <c r="CD96" s="86"/>
      <c r="CE96" s="90">
        <v>3.4791526525872403</v>
      </c>
      <c r="CF96" s="86">
        <v>6</v>
      </c>
      <c r="CG96" s="86">
        <v>6</v>
      </c>
      <c r="CH96" s="84" t="s">
        <v>1758</v>
      </c>
      <c r="CI96" s="84" t="s">
        <v>857</v>
      </c>
      <c r="CJ96" s="84" t="s">
        <v>843</v>
      </c>
      <c r="CK96" s="86"/>
      <c r="CL96" s="86"/>
      <c r="CM96" s="86"/>
      <c r="CN96" s="86"/>
      <c r="CO96" s="86"/>
      <c r="CS96" s="86"/>
      <c r="CT96" s="86"/>
      <c r="CU96" s="86"/>
      <c r="CV96" s="87"/>
      <c r="CW96" s="86"/>
      <c r="DA96" s="82"/>
      <c r="DB96" s="82"/>
      <c r="DC96" s="82"/>
      <c r="DD96" s="167"/>
      <c r="DE96" s="82"/>
      <c r="DI96" s="82"/>
      <c r="DJ96" s="82"/>
      <c r="DK96" s="82"/>
      <c r="DL96" s="167"/>
      <c r="DM96" s="82"/>
      <c r="DN96" s="82"/>
      <c r="DQ96" s="82"/>
      <c r="DR96" s="82"/>
      <c r="DS96" s="82"/>
      <c r="DT96" s="167"/>
      <c r="DU96" s="82"/>
      <c r="DY96" s="86"/>
      <c r="DZ96" s="86"/>
      <c r="EA96" s="86"/>
      <c r="EB96" s="86"/>
      <c r="EC96" s="86"/>
      <c r="EG96" s="86"/>
      <c r="EH96" s="86"/>
      <c r="EI96" s="86"/>
      <c r="EJ96" s="86"/>
      <c r="EK96" s="86"/>
      <c r="EN96" s="86">
        <f t="shared" si="98"/>
        <v>5.7167081447500001</v>
      </c>
      <c r="EO96" s="90">
        <f t="shared" si="99"/>
        <v>3.810682770843675</v>
      </c>
      <c r="EP96" s="86">
        <f t="shared" si="100"/>
        <v>6</v>
      </c>
      <c r="EQ96" s="86">
        <f t="shared" si="101"/>
        <v>6</v>
      </c>
      <c r="ER96" s="86">
        <f t="shared" si="102"/>
        <v>5.6225226245000002</v>
      </c>
      <c r="ES96" s="90">
        <f t="shared" si="103"/>
        <v>3.4791526525872403</v>
      </c>
      <c r="ET96" s="86">
        <f t="shared" si="104"/>
        <v>6</v>
      </c>
      <c r="EU96" s="86">
        <f t="shared" si="105"/>
        <v>6</v>
      </c>
      <c r="EV96" s="86">
        <f t="shared" si="64"/>
        <v>3.6486851302907501</v>
      </c>
      <c r="EW96" s="86">
        <f t="shared" si="65"/>
        <v>2.5813551152465336E-2</v>
      </c>
      <c r="EX96" s="86">
        <f t="shared" si="66"/>
        <v>0.33336109747596254</v>
      </c>
      <c r="EY96" s="86">
        <f t="shared" si="67"/>
        <v>0.92307692307692313</v>
      </c>
      <c r="EZ96" s="83">
        <f t="shared" si="68"/>
        <v>2.3827893371506464E-2</v>
      </c>
      <c r="FA96" s="83">
        <f t="shared" si="69"/>
        <v>0.2840473256599918</v>
      </c>
      <c r="FB96" s="83">
        <f t="shared" si="70"/>
        <v>12</v>
      </c>
      <c r="FC96" s="84" t="s">
        <v>385</v>
      </c>
    </row>
    <row r="97" spans="1:159" s="84" customFormat="1" ht="17.100000000000001" customHeight="1">
      <c r="A97" s="78" t="s">
        <v>1799</v>
      </c>
      <c r="B97" s="91" t="s">
        <v>1918</v>
      </c>
      <c r="C97" s="80" t="str">
        <f t="shared" si="71"/>
        <v>Kerns, B. K., Thies, W. G., &amp; Niwa, C. G.  2006.  Season and severity of prescribed burn in ponderosa pine forests: implications for understory native and exotic plants. Ecoscience. 13: 44-55.</v>
      </c>
      <c r="D97" s="81" t="s">
        <v>1471</v>
      </c>
      <c r="E97" s="81">
        <v>2006</v>
      </c>
      <c r="F97" s="91" t="s">
        <v>844</v>
      </c>
      <c r="G97" s="91" t="s">
        <v>845</v>
      </c>
      <c r="H97" s="91">
        <v>13</v>
      </c>
      <c r="I97" s="92" t="s">
        <v>846</v>
      </c>
      <c r="J97" s="81" t="s">
        <v>1809</v>
      </c>
      <c r="K97" s="91" t="s">
        <v>847</v>
      </c>
      <c r="L97" s="84" t="s">
        <v>101</v>
      </c>
      <c r="M97" s="95" t="s">
        <v>73</v>
      </c>
      <c r="N97" s="84" t="s">
        <v>389</v>
      </c>
      <c r="P97" s="91" t="s">
        <v>16</v>
      </c>
      <c r="Q97" s="91" t="s">
        <v>587</v>
      </c>
      <c r="R97" s="91" t="s">
        <v>848</v>
      </c>
      <c r="S97" s="91"/>
      <c r="T97" s="91" t="s">
        <v>849</v>
      </c>
      <c r="U97" s="91" t="s">
        <v>850</v>
      </c>
      <c r="V97" s="91">
        <v>43.83</v>
      </c>
      <c r="W97" s="91">
        <v>-118.85</v>
      </c>
      <c r="X97" s="81" t="s">
        <v>851</v>
      </c>
      <c r="Y97" s="104" t="s">
        <v>1990</v>
      </c>
      <c r="Z97" s="66" t="s">
        <v>2205</v>
      </c>
      <c r="AA97" s="93" t="s">
        <v>49</v>
      </c>
      <c r="AB97" s="84" t="s">
        <v>103</v>
      </c>
      <c r="AC97" s="81" t="s">
        <v>136</v>
      </c>
      <c r="AD97" s="84" t="s">
        <v>1267</v>
      </c>
      <c r="AE97" s="84" t="s">
        <v>852</v>
      </c>
      <c r="AF97" s="84" t="s">
        <v>87</v>
      </c>
      <c r="AG97" s="84" t="s">
        <v>91</v>
      </c>
      <c r="AH97" s="84" t="s">
        <v>106</v>
      </c>
      <c r="AI97" s="84" t="s">
        <v>93</v>
      </c>
      <c r="AJ97" s="86">
        <v>6</v>
      </c>
      <c r="AK97" s="86">
        <v>1</v>
      </c>
      <c r="AL97" s="86">
        <v>1</v>
      </c>
      <c r="AM97" s="84" t="s">
        <v>853</v>
      </c>
      <c r="AN97" s="84" t="s">
        <v>690</v>
      </c>
      <c r="AO97" s="84" t="s">
        <v>524</v>
      </c>
      <c r="AP97" s="68" t="s">
        <v>2228</v>
      </c>
      <c r="AQ97" s="84" t="s">
        <v>95</v>
      </c>
      <c r="AR97" s="108">
        <v>1</v>
      </c>
      <c r="AS97" s="86">
        <v>6</v>
      </c>
      <c r="AT97" s="87" t="s">
        <v>854</v>
      </c>
      <c r="AU97" s="90"/>
      <c r="AV97" s="88">
        <v>0.21052631578947367</v>
      </c>
      <c r="AW97" s="84" t="s">
        <v>1621</v>
      </c>
      <c r="AX97" s="117" t="s">
        <v>80</v>
      </c>
      <c r="AY97" s="86">
        <v>6</v>
      </c>
      <c r="AZ97" s="86">
        <v>1</v>
      </c>
      <c r="BA97" s="86">
        <v>5</v>
      </c>
      <c r="BB97" s="87" t="s">
        <v>854</v>
      </c>
      <c r="BD97" s="93" t="s">
        <v>124</v>
      </c>
      <c r="BE97" s="84" t="s">
        <v>182</v>
      </c>
      <c r="BF97" s="93" t="s">
        <v>110</v>
      </c>
      <c r="BG97" s="110" t="s">
        <v>21</v>
      </c>
      <c r="BH97" s="84" t="s">
        <v>81</v>
      </c>
      <c r="BI97" s="84" t="s">
        <v>855</v>
      </c>
      <c r="BJ97" s="89">
        <f t="shared" si="95"/>
        <v>4.75</v>
      </c>
      <c r="BK97" s="84">
        <v>57</v>
      </c>
      <c r="BL97" s="84">
        <v>57</v>
      </c>
      <c r="BM97" s="88">
        <v>4.75</v>
      </c>
      <c r="BN97" s="84" t="s">
        <v>379</v>
      </c>
      <c r="BO97" s="84" t="s">
        <v>856</v>
      </c>
      <c r="BP97" s="84" t="s">
        <v>64</v>
      </c>
      <c r="BR97" s="84" t="s">
        <v>1954</v>
      </c>
      <c r="BS97" s="84" t="s">
        <v>2136</v>
      </c>
      <c r="BT97" s="84" t="s">
        <v>1253</v>
      </c>
      <c r="BU97" s="86">
        <v>5.9709389139999995</v>
      </c>
      <c r="BV97" s="86"/>
      <c r="BW97" s="90">
        <v>4.1852064798595254</v>
      </c>
      <c r="BX97" s="86">
        <v>6</v>
      </c>
      <c r="BY97" s="86">
        <v>6</v>
      </c>
      <c r="BZ97" s="84" t="s">
        <v>1758</v>
      </c>
      <c r="CA97" s="84" t="s">
        <v>1860</v>
      </c>
      <c r="CB97" s="84" t="s">
        <v>80</v>
      </c>
      <c r="CC97" s="115">
        <v>5.6225226245000002</v>
      </c>
      <c r="CD97" s="115"/>
      <c r="CE97" s="101">
        <v>3.4791526525872403</v>
      </c>
      <c r="CF97" s="86">
        <v>6</v>
      </c>
      <c r="CG97" s="86">
        <v>6</v>
      </c>
      <c r="CH97" s="84" t="s">
        <v>1758</v>
      </c>
      <c r="CI97" s="84" t="s">
        <v>857</v>
      </c>
      <c r="CJ97" s="84" t="s">
        <v>843</v>
      </c>
      <c r="CK97" s="86"/>
      <c r="CL97" s="86"/>
      <c r="CM97" s="86"/>
      <c r="CN97" s="86"/>
      <c r="CO97" s="86"/>
      <c r="CS97" s="86"/>
      <c r="CT97" s="86"/>
      <c r="CU97" s="86"/>
      <c r="CV97" s="87"/>
      <c r="CW97" s="86"/>
      <c r="DA97" s="82"/>
      <c r="DB97" s="82"/>
      <c r="DC97" s="82"/>
      <c r="DD97" s="167"/>
      <c r="DE97" s="82"/>
      <c r="DI97" s="82"/>
      <c r="DJ97" s="82"/>
      <c r="DK97" s="82"/>
      <c r="DL97" s="167"/>
      <c r="DM97" s="82"/>
      <c r="DN97" s="82"/>
      <c r="DQ97" s="82"/>
      <c r="DR97" s="82"/>
      <c r="DS97" s="82"/>
      <c r="DT97" s="167"/>
      <c r="DU97" s="82"/>
      <c r="DY97" s="86"/>
      <c r="DZ97" s="86"/>
      <c r="EA97" s="86"/>
      <c r="EB97" s="86"/>
      <c r="EC97" s="86"/>
      <c r="EG97" s="86"/>
      <c r="EH97" s="86"/>
      <c r="EI97" s="86"/>
      <c r="EJ97" s="86"/>
      <c r="EK97" s="86"/>
      <c r="EN97" s="86">
        <f t="shared" si="98"/>
        <v>5.9709389139999995</v>
      </c>
      <c r="EO97" s="90">
        <f t="shared" si="99"/>
        <v>4.1852064798595254</v>
      </c>
      <c r="EP97" s="86">
        <f t="shared" si="100"/>
        <v>6</v>
      </c>
      <c r="EQ97" s="86">
        <f t="shared" si="101"/>
        <v>6</v>
      </c>
      <c r="ER97" s="86">
        <f t="shared" si="102"/>
        <v>5.6225226245000002</v>
      </c>
      <c r="ES97" s="90">
        <f t="shared" si="103"/>
        <v>3.4791526525872403</v>
      </c>
      <c r="ET97" s="86">
        <f t="shared" si="104"/>
        <v>6</v>
      </c>
      <c r="EU97" s="86">
        <f t="shared" si="105"/>
        <v>6</v>
      </c>
      <c r="EV97" s="86">
        <f t="shared" si="64"/>
        <v>3.8484059335693126</v>
      </c>
      <c r="EW97" s="86">
        <f t="shared" si="65"/>
        <v>9.0535223028525694E-2</v>
      </c>
      <c r="EX97" s="86">
        <f t="shared" si="66"/>
        <v>0.33367485944203434</v>
      </c>
      <c r="EY97" s="86">
        <f t="shared" si="67"/>
        <v>0.92307692307692313</v>
      </c>
      <c r="EZ97" s="83">
        <f t="shared" si="68"/>
        <v>8.3570975103254494E-2</v>
      </c>
      <c r="FA97" s="83">
        <f t="shared" si="69"/>
        <v>0.28431467313404113</v>
      </c>
      <c r="FB97" s="83">
        <f t="shared" si="70"/>
        <v>12</v>
      </c>
      <c r="FC97" s="84" t="s">
        <v>385</v>
      </c>
    </row>
    <row r="98" spans="1:159" s="84" customFormat="1" ht="17.100000000000001" customHeight="1">
      <c r="A98" s="78" t="s">
        <v>1799</v>
      </c>
      <c r="B98" s="91" t="s">
        <v>1917</v>
      </c>
      <c r="C98" s="80" t="str">
        <f t="shared" si="71"/>
        <v>Kerns, B. K., Thies, W. G., &amp; Niwa, C. G.  2006.  Season and severity of prescribed burn in ponderosa pine forests: implications for understory native and exotic plants. Ecoscience. 13: 44-55.</v>
      </c>
      <c r="D98" s="81" t="s">
        <v>1471</v>
      </c>
      <c r="E98" s="81">
        <v>2006</v>
      </c>
      <c r="F98" s="91" t="s">
        <v>844</v>
      </c>
      <c r="G98" s="91" t="s">
        <v>845</v>
      </c>
      <c r="H98" s="91">
        <v>13</v>
      </c>
      <c r="I98" s="92" t="s">
        <v>846</v>
      </c>
      <c r="J98" s="81" t="s">
        <v>1823</v>
      </c>
      <c r="K98" s="91" t="s">
        <v>847</v>
      </c>
      <c r="L98" s="84" t="s">
        <v>101</v>
      </c>
      <c r="M98" s="95" t="s">
        <v>73</v>
      </c>
      <c r="N98" s="84" t="s">
        <v>389</v>
      </c>
      <c r="P98" s="91" t="s">
        <v>16</v>
      </c>
      <c r="Q98" s="91" t="s">
        <v>587</v>
      </c>
      <c r="R98" s="91" t="s">
        <v>848</v>
      </c>
      <c r="S98" s="91"/>
      <c r="T98" s="91" t="s">
        <v>849</v>
      </c>
      <c r="U98" s="91" t="s">
        <v>850</v>
      </c>
      <c r="V98" s="91">
        <v>43.83</v>
      </c>
      <c r="W98" s="91">
        <v>-118.85</v>
      </c>
      <c r="X98" s="81" t="s">
        <v>851</v>
      </c>
      <c r="Y98" s="104" t="s">
        <v>1990</v>
      </c>
      <c r="Z98" s="66" t="s">
        <v>2205</v>
      </c>
      <c r="AA98" s="93" t="s">
        <v>49</v>
      </c>
      <c r="AB98" s="84" t="s">
        <v>103</v>
      </c>
      <c r="AC98" s="81" t="s">
        <v>136</v>
      </c>
      <c r="AD98" s="84" t="s">
        <v>1267</v>
      </c>
      <c r="AE98" s="84" t="s">
        <v>852</v>
      </c>
      <c r="AF98" s="84" t="s">
        <v>87</v>
      </c>
      <c r="AG98" s="84" t="s">
        <v>91</v>
      </c>
      <c r="AH98" s="84" t="s">
        <v>106</v>
      </c>
      <c r="AI98" s="84" t="s">
        <v>93</v>
      </c>
      <c r="AJ98" s="86">
        <v>6</v>
      </c>
      <c r="AK98" s="86">
        <v>1</v>
      </c>
      <c r="AL98" s="86">
        <v>1</v>
      </c>
      <c r="AM98" s="84" t="s">
        <v>853</v>
      </c>
      <c r="AN98" s="84" t="s">
        <v>526</v>
      </c>
      <c r="AO98" s="84" t="s">
        <v>526</v>
      </c>
      <c r="AP98" s="68" t="s">
        <v>2227</v>
      </c>
      <c r="AQ98" s="84" t="s">
        <v>94</v>
      </c>
      <c r="AR98" s="108">
        <v>1</v>
      </c>
      <c r="AS98" s="86">
        <v>6</v>
      </c>
      <c r="AT98" s="87" t="s">
        <v>854</v>
      </c>
      <c r="AU98" s="90"/>
      <c r="AV98" s="88">
        <v>0.24489795918367349</v>
      </c>
      <c r="AX98" s="84" t="s">
        <v>80</v>
      </c>
      <c r="AY98" s="86">
        <v>6</v>
      </c>
      <c r="AZ98" s="86">
        <v>1</v>
      </c>
      <c r="BA98" s="86">
        <v>5</v>
      </c>
      <c r="BB98" s="87" t="s">
        <v>854</v>
      </c>
      <c r="BD98" s="93" t="s">
        <v>124</v>
      </c>
      <c r="BE98" s="84" t="s">
        <v>182</v>
      </c>
      <c r="BF98" s="93" t="s">
        <v>121</v>
      </c>
      <c r="BG98" s="110" t="s">
        <v>21</v>
      </c>
      <c r="BH98" s="84" t="s">
        <v>81</v>
      </c>
      <c r="BI98" s="84" t="s">
        <v>855</v>
      </c>
      <c r="BJ98" s="89">
        <f t="shared" si="95"/>
        <v>4.083333333333333</v>
      </c>
      <c r="BK98" s="84">
        <v>49</v>
      </c>
      <c r="BL98" s="84">
        <v>49</v>
      </c>
      <c r="BM98" s="88">
        <v>4.083333333333333</v>
      </c>
      <c r="BN98" s="84" t="s">
        <v>379</v>
      </c>
      <c r="BO98" s="84" t="s">
        <v>856</v>
      </c>
      <c r="BP98" s="84" t="s">
        <v>64</v>
      </c>
      <c r="BR98" s="84" t="s">
        <v>1859</v>
      </c>
      <c r="BS98" s="85" t="s">
        <v>2134</v>
      </c>
      <c r="BT98" s="84" t="s">
        <v>1254</v>
      </c>
      <c r="BU98" s="86">
        <v>7.3900000000000006</v>
      </c>
      <c r="BV98" s="86"/>
      <c r="BW98" s="90">
        <v>3.7821422501011246</v>
      </c>
      <c r="BX98" s="86">
        <v>6</v>
      </c>
      <c r="BY98" s="86">
        <v>6</v>
      </c>
      <c r="BZ98" s="84" t="s">
        <v>1758</v>
      </c>
      <c r="CA98" s="84" t="s">
        <v>1860</v>
      </c>
      <c r="CB98" s="84" t="s">
        <v>80</v>
      </c>
      <c r="CC98" s="86">
        <v>7.37</v>
      </c>
      <c r="CD98" s="86"/>
      <c r="CE98" s="90">
        <v>3.4478689070206827</v>
      </c>
      <c r="CF98" s="86">
        <v>6</v>
      </c>
      <c r="CG98" s="86">
        <v>6</v>
      </c>
      <c r="CH98" s="84" t="s">
        <v>1758</v>
      </c>
      <c r="CI98" s="84" t="s">
        <v>857</v>
      </c>
      <c r="CJ98" s="84" t="s">
        <v>843</v>
      </c>
      <c r="CK98" s="86"/>
      <c r="CL98" s="86"/>
      <c r="CM98" s="86"/>
      <c r="CN98" s="86"/>
      <c r="CO98" s="86"/>
      <c r="CS98" s="86"/>
      <c r="CT98" s="86"/>
      <c r="CU98" s="86"/>
      <c r="CV98" s="87"/>
      <c r="CW98" s="86"/>
      <c r="DA98" s="82"/>
      <c r="DB98" s="82"/>
      <c r="DC98" s="82"/>
      <c r="DD98" s="167"/>
      <c r="DE98" s="82"/>
      <c r="DI98" s="82"/>
      <c r="DJ98" s="82"/>
      <c r="DK98" s="82"/>
      <c r="DL98" s="167"/>
      <c r="DM98" s="82"/>
      <c r="DN98" s="82"/>
      <c r="DQ98" s="82"/>
      <c r="DR98" s="82"/>
      <c r="DS98" s="82"/>
      <c r="DT98" s="167"/>
      <c r="DU98" s="82"/>
      <c r="DY98" s="86"/>
      <c r="DZ98" s="86"/>
      <c r="EA98" s="86"/>
      <c r="EB98" s="86"/>
      <c r="EC98" s="86"/>
      <c r="EG98" s="86"/>
      <c r="EH98" s="86"/>
      <c r="EI98" s="86"/>
      <c r="EJ98" s="86"/>
      <c r="EK98" s="86"/>
      <c r="EN98" s="86">
        <f t="shared" si="98"/>
        <v>7.3900000000000006</v>
      </c>
      <c r="EO98" s="90">
        <f t="shared" si="99"/>
        <v>3.7821422501011246</v>
      </c>
      <c r="EP98" s="86">
        <f t="shared" si="100"/>
        <v>6</v>
      </c>
      <c r="EQ98" s="86">
        <f t="shared" si="101"/>
        <v>6</v>
      </c>
      <c r="ER98" s="86">
        <f t="shared" si="102"/>
        <v>7.37</v>
      </c>
      <c r="ES98" s="90">
        <f t="shared" si="103"/>
        <v>3.4478689070206827</v>
      </c>
      <c r="ET98" s="86">
        <f t="shared" si="104"/>
        <v>6</v>
      </c>
      <c r="EU98" s="86">
        <f t="shared" si="105"/>
        <v>6</v>
      </c>
      <c r="EV98" s="86">
        <f t="shared" si="64"/>
        <v>3.6188672260805586</v>
      </c>
      <c r="EW98" s="86">
        <f t="shared" si="65"/>
        <v>5.5265912647648064E-3</v>
      </c>
      <c r="EX98" s="86">
        <f t="shared" si="66"/>
        <v>0.33333460596712533</v>
      </c>
      <c r="EY98" s="86">
        <f t="shared" si="67"/>
        <v>0.92307692307692313</v>
      </c>
      <c r="EZ98" s="83">
        <f t="shared" si="68"/>
        <v>5.1014688597828982E-3</v>
      </c>
      <c r="FA98" s="83">
        <f t="shared" si="69"/>
        <v>0.28402475301340863</v>
      </c>
      <c r="FB98" s="83">
        <f t="shared" si="70"/>
        <v>12</v>
      </c>
      <c r="FC98" s="84" t="s">
        <v>385</v>
      </c>
    </row>
    <row r="99" spans="1:159" s="84" customFormat="1" ht="17.100000000000001" customHeight="1">
      <c r="A99" s="78" t="s">
        <v>1799</v>
      </c>
      <c r="B99" s="91" t="s">
        <v>1918</v>
      </c>
      <c r="C99" s="80" t="str">
        <f t="shared" si="71"/>
        <v>Kerns, B. K., Thies, W. G., &amp; Niwa, C. G.  2006.  Season and severity of prescribed burn in ponderosa pine forests: implications for understory native and exotic plants. Ecoscience. 13: 44-55.</v>
      </c>
      <c r="D99" s="81" t="s">
        <v>1471</v>
      </c>
      <c r="E99" s="81">
        <v>2006</v>
      </c>
      <c r="F99" s="91" t="s">
        <v>844</v>
      </c>
      <c r="G99" s="91" t="s">
        <v>845</v>
      </c>
      <c r="H99" s="91">
        <v>13</v>
      </c>
      <c r="I99" s="92" t="s">
        <v>846</v>
      </c>
      <c r="J99" s="81" t="s">
        <v>1809</v>
      </c>
      <c r="K99" s="91" t="s">
        <v>847</v>
      </c>
      <c r="L99" s="84" t="s">
        <v>101</v>
      </c>
      <c r="M99" s="95" t="s">
        <v>73</v>
      </c>
      <c r="N99" s="84" t="s">
        <v>389</v>
      </c>
      <c r="P99" s="91" t="s">
        <v>16</v>
      </c>
      <c r="Q99" s="91" t="s">
        <v>587</v>
      </c>
      <c r="R99" s="91" t="s">
        <v>848</v>
      </c>
      <c r="S99" s="91"/>
      <c r="T99" s="91" t="s">
        <v>849</v>
      </c>
      <c r="U99" s="91" t="s">
        <v>850</v>
      </c>
      <c r="V99" s="91">
        <v>43.83</v>
      </c>
      <c r="W99" s="91">
        <v>-118.85</v>
      </c>
      <c r="X99" s="81" t="s">
        <v>851</v>
      </c>
      <c r="Y99" s="104" t="s">
        <v>1990</v>
      </c>
      <c r="Z99" s="66" t="s">
        <v>2205</v>
      </c>
      <c r="AA99" s="93" t="s">
        <v>49</v>
      </c>
      <c r="AB99" s="84" t="s">
        <v>103</v>
      </c>
      <c r="AC99" s="81" t="s">
        <v>136</v>
      </c>
      <c r="AD99" s="84" t="s">
        <v>1267</v>
      </c>
      <c r="AE99" s="84" t="s">
        <v>852</v>
      </c>
      <c r="AF99" s="84" t="s">
        <v>87</v>
      </c>
      <c r="AG99" s="84" t="s">
        <v>91</v>
      </c>
      <c r="AH99" s="84" t="s">
        <v>106</v>
      </c>
      <c r="AI99" s="84" t="s">
        <v>93</v>
      </c>
      <c r="AJ99" s="86">
        <v>6</v>
      </c>
      <c r="AK99" s="86">
        <v>1</v>
      </c>
      <c r="AL99" s="86">
        <v>1</v>
      </c>
      <c r="AM99" s="84" t="s">
        <v>853</v>
      </c>
      <c r="AN99" s="84" t="s">
        <v>690</v>
      </c>
      <c r="AO99" s="84" t="s">
        <v>524</v>
      </c>
      <c r="AP99" s="68" t="s">
        <v>2228</v>
      </c>
      <c r="AQ99" s="84" t="s">
        <v>95</v>
      </c>
      <c r="AR99" s="108">
        <v>1</v>
      </c>
      <c r="AS99" s="86">
        <v>6</v>
      </c>
      <c r="AT99" s="87" t="s">
        <v>854</v>
      </c>
      <c r="AU99" s="90"/>
      <c r="AV99" s="88">
        <v>0.21052631578947367</v>
      </c>
      <c r="AW99" s="84" t="s">
        <v>1621</v>
      </c>
      <c r="AX99" s="84" t="s">
        <v>80</v>
      </c>
      <c r="AY99" s="86">
        <v>6</v>
      </c>
      <c r="AZ99" s="86">
        <v>1</v>
      </c>
      <c r="BA99" s="86">
        <v>5</v>
      </c>
      <c r="BB99" s="87" t="s">
        <v>854</v>
      </c>
      <c r="BD99" s="93" t="s">
        <v>124</v>
      </c>
      <c r="BE99" s="84" t="s">
        <v>182</v>
      </c>
      <c r="BF99" s="93" t="s">
        <v>121</v>
      </c>
      <c r="BG99" s="110" t="s">
        <v>21</v>
      </c>
      <c r="BH99" s="84" t="s">
        <v>81</v>
      </c>
      <c r="BI99" s="84" t="s">
        <v>855</v>
      </c>
      <c r="BJ99" s="89">
        <f t="shared" si="95"/>
        <v>4.75</v>
      </c>
      <c r="BK99" s="84">
        <v>57</v>
      </c>
      <c r="BL99" s="84">
        <v>57</v>
      </c>
      <c r="BM99" s="88">
        <v>4.75</v>
      </c>
      <c r="BN99" s="84" t="s">
        <v>379</v>
      </c>
      <c r="BO99" s="84" t="s">
        <v>856</v>
      </c>
      <c r="BP99" s="84" t="s">
        <v>64</v>
      </c>
      <c r="BR99" s="84" t="s">
        <v>1859</v>
      </c>
      <c r="BS99" s="85" t="s">
        <v>2134</v>
      </c>
      <c r="BT99" s="84" t="s">
        <v>1253</v>
      </c>
      <c r="BU99" s="86">
        <v>7.37</v>
      </c>
      <c r="BV99" s="86"/>
      <c r="BW99" s="90">
        <v>4.112663370615202</v>
      </c>
      <c r="BX99" s="86">
        <v>6</v>
      </c>
      <c r="BY99" s="86">
        <v>6</v>
      </c>
      <c r="BZ99" s="84" t="s">
        <v>1758</v>
      </c>
      <c r="CA99" s="84" t="s">
        <v>1860</v>
      </c>
      <c r="CB99" s="84" t="s">
        <v>80</v>
      </c>
      <c r="CC99" s="86">
        <v>7.37</v>
      </c>
      <c r="CD99" s="86"/>
      <c r="CE99" s="90">
        <v>3.4478689070206827</v>
      </c>
      <c r="CF99" s="86">
        <v>6</v>
      </c>
      <c r="CG99" s="86">
        <v>6</v>
      </c>
      <c r="CH99" s="84" t="s">
        <v>1758</v>
      </c>
      <c r="CI99" s="84" t="s">
        <v>857</v>
      </c>
      <c r="CJ99" s="84" t="s">
        <v>843</v>
      </c>
      <c r="CK99" s="86"/>
      <c r="CL99" s="86"/>
      <c r="CM99" s="86"/>
      <c r="CN99" s="86"/>
      <c r="CO99" s="86"/>
      <c r="CS99" s="86"/>
      <c r="CT99" s="86"/>
      <c r="CU99" s="86"/>
      <c r="CV99" s="87"/>
      <c r="CW99" s="86"/>
      <c r="DA99" s="82"/>
      <c r="DB99" s="82"/>
      <c r="DC99" s="82"/>
      <c r="DD99" s="167"/>
      <c r="DE99" s="82"/>
      <c r="DI99" s="82"/>
      <c r="DJ99" s="82"/>
      <c r="DK99" s="82"/>
      <c r="DL99" s="167"/>
      <c r="DM99" s="82"/>
      <c r="DN99" s="82"/>
      <c r="DQ99" s="82"/>
      <c r="DR99" s="82"/>
      <c r="DS99" s="82"/>
      <c r="DT99" s="167"/>
      <c r="DU99" s="82"/>
      <c r="DY99" s="86"/>
      <c r="DZ99" s="86"/>
      <c r="EA99" s="86"/>
      <c r="EB99" s="86"/>
      <c r="EC99" s="86"/>
      <c r="EG99" s="86"/>
      <c r="EH99" s="86"/>
      <c r="EI99" s="86"/>
      <c r="EJ99" s="86"/>
      <c r="EK99" s="86"/>
      <c r="EN99" s="86">
        <f t="shared" si="98"/>
        <v>7.37</v>
      </c>
      <c r="EO99" s="90">
        <f t="shared" si="99"/>
        <v>4.112663370615202</v>
      </c>
      <c r="EP99" s="86">
        <f t="shared" si="100"/>
        <v>6</v>
      </c>
      <c r="EQ99" s="86">
        <f t="shared" si="101"/>
        <v>6</v>
      </c>
      <c r="ER99" s="86">
        <f t="shared" si="102"/>
        <v>7.37</v>
      </c>
      <c r="ES99" s="90">
        <f t="shared" si="103"/>
        <v>3.4478689070206827</v>
      </c>
      <c r="ET99" s="86">
        <f t="shared" si="104"/>
        <v>6</v>
      </c>
      <c r="EU99" s="86">
        <f t="shared" si="105"/>
        <v>6</v>
      </c>
      <c r="EV99" s="86">
        <f t="shared" si="64"/>
        <v>3.7948517757614719</v>
      </c>
      <c r="EW99" s="86">
        <f t="shared" si="65"/>
        <v>0</v>
      </c>
      <c r="EX99" s="86">
        <f t="shared" si="66"/>
        <v>0.33333333333333331</v>
      </c>
      <c r="EY99" s="86">
        <f t="shared" si="67"/>
        <v>0.92307692307692313</v>
      </c>
      <c r="EZ99" s="83">
        <f t="shared" si="68"/>
        <v>0</v>
      </c>
      <c r="FA99" s="83">
        <f t="shared" si="69"/>
        <v>0.28402366863905326</v>
      </c>
      <c r="FB99" s="83">
        <f t="shared" si="70"/>
        <v>12</v>
      </c>
      <c r="FC99" s="84" t="s">
        <v>385</v>
      </c>
    </row>
    <row r="100" spans="1:159" s="84" customFormat="1" ht="17.100000000000001" customHeight="1">
      <c r="A100" s="78" t="s">
        <v>1799</v>
      </c>
      <c r="B100" s="91" t="s">
        <v>1917</v>
      </c>
      <c r="C100" s="80" t="str">
        <f t="shared" si="71"/>
        <v>Kerns, B. K., Thies, W. G., &amp; Niwa, C. G.  2006.  Season and severity of prescribed burn in ponderosa pine forests: implications for understory native and exotic plants. Ecoscience. 13: 44-55.</v>
      </c>
      <c r="D100" s="81" t="s">
        <v>1471</v>
      </c>
      <c r="E100" s="81">
        <v>2006</v>
      </c>
      <c r="F100" s="91" t="s">
        <v>844</v>
      </c>
      <c r="G100" s="91" t="s">
        <v>845</v>
      </c>
      <c r="H100" s="91">
        <v>13</v>
      </c>
      <c r="I100" s="92" t="s">
        <v>846</v>
      </c>
      <c r="J100" s="81" t="s">
        <v>1809</v>
      </c>
      <c r="K100" s="91" t="s">
        <v>847</v>
      </c>
      <c r="L100" s="84" t="s">
        <v>101</v>
      </c>
      <c r="M100" s="95" t="s">
        <v>73</v>
      </c>
      <c r="N100" s="84" t="s">
        <v>389</v>
      </c>
      <c r="P100" s="91" t="s">
        <v>16</v>
      </c>
      <c r="Q100" s="91" t="s">
        <v>587</v>
      </c>
      <c r="R100" s="91" t="s">
        <v>848</v>
      </c>
      <c r="S100" s="91"/>
      <c r="T100" s="91" t="s">
        <v>849</v>
      </c>
      <c r="U100" s="91" t="s">
        <v>850</v>
      </c>
      <c r="V100" s="91">
        <v>43.83</v>
      </c>
      <c r="W100" s="91">
        <v>-118.85</v>
      </c>
      <c r="X100" s="81" t="s">
        <v>851</v>
      </c>
      <c r="Y100" s="104" t="s">
        <v>1990</v>
      </c>
      <c r="Z100" s="66" t="s">
        <v>2205</v>
      </c>
      <c r="AA100" s="93" t="s">
        <v>49</v>
      </c>
      <c r="AB100" s="84" t="s">
        <v>103</v>
      </c>
      <c r="AC100" s="81" t="s">
        <v>136</v>
      </c>
      <c r="AD100" s="84" t="s">
        <v>1267</v>
      </c>
      <c r="AE100" s="84" t="s">
        <v>852</v>
      </c>
      <c r="AF100" s="84" t="s">
        <v>87</v>
      </c>
      <c r="AG100" s="84" t="s">
        <v>91</v>
      </c>
      <c r="AH100" s="84" t="s">
        <v>106</v>
      </c>
      <c r="AI100" s="84" t="s">
        <v>93</v>
      </c>
      <c r="AJ100" s="86">
        <v>6</v>
      </c>
      <c r="AK100" s="86">
        <v>1</v>
      </c>
      <c r="AL100" s="86">
        <v>1</v>
      </c>
      <c r="AM100" s="84" t="s">
        <v>853</v>
      </c>
      <c r="AN100" s="84" t="s">
        <v>526</v>
      </c>
      <c r="AO100" s="84" t="s">
        <v>526</v>
      </c>
      <c r="AP100" s="68" t="s">
        <v>2227</v>
      </c>
      <c r="AQ100" s="84" t="s">
        <v>94</v>
      </c>
      <c r="AR100" s="108">
        <v>1</v>
      </c>
      <c r="AS100" s="86">
        <v>6</v>
      </c>
      <c r="AT100" s="87" t="s">
        <v>854</v>
      </c>
      <c r="AU100" s="90"/>
      <c r="AV100" s="88">
        <v>0.24489795918367349</v>
      </c>
      <c r="AX100" s="84" t="s">
        <v>80</v>
      </c>
      <c r="AY100" s="86">
        <v>6</v>
      </c>
      <c r="AZ100" s="86">
        <v>1</v>
      </c>
      <c r="BA100" s="86">
        <v>5</v>
      </c>
      <c r="BB100" s="87" t="s">
        <v>854</v>
      </c>
      <c r="BD100" s="93" t="s">
        <v>124</v>
      </c>
      <c r="BE100" s="84" t="s">
        <v>182</v>
      </c>
      <c r="BF100" s="83" t="s">
        <v>2156</v>
      </c>
      <c r="BG100" s="110" t="s">
        <v>21</v>
      </c>
      <c r="BH100" s="84" t="s">
        <v>81</v>
      </c>
      <c r="BI100" s="84" t="s">
        <v>855</v>
      </c>
      <c r="BJ100" s="89">
        <f t="shared" si="95"/>
        <v>4.083333333333333</v>
      </c>
      <c r="BK100" s="84">
        <v>49</v>
      </c>
      <c r="BL100" s="84">
        <v>49</v>
      </c>
      <c r="BM100" s="88">
        <v>4.083333333333333</v>
      </c>
      <c r="BN100" s="84" t="s">
        <v>379</v>
      </c>
      <c r="BO100" s="84" t="s">
        <v>856</v>
      </c>
      <c r="BP100" s="84" t="s">
        <v>64</v>
      </c>
      <c r="BR100" s="84" t="s">
        <v>1777</v>
      </c>
      <c r="BS100" s="84" t="s">
        <v>2135</v>
      </c>
      <c r="BT100" s="84" t="s">
        <v>1254</v>
      </c>
      <c r="BU100" s="114">
        <v>0.69683257899999995</v>
      </c>
      <c r="BV100" s="114">
        <v>0.190045249</v>
      </c>
      <c r="BW100" s="90">
        <v>0.46551388799999999</v>
      </c>
      <c r="BX100" s="86">
        <v>6</v>
      </c>
      <c r="BY100" s="86">
        <v>6</v>
      </c>
      <c r="BZ100" s="84" t="s">
        <v>1758</v>
      </c>
      <c r="CA100" s="84" t="s">
        <v>1860</v>
      </c>
      <c r="CB100" s="84" t="s">
        <v>80</v>
      </c>
      <c r="CC100" s="114">
        <v>0.380090498</v>
      </c>
      <c r="CD100" s="119">
        <v>0.190045249</v>
      </c>
      <c r="CE100" s="90">
        <v>0.46551388809017508</v>
      </c>
      <c r="CF100" s="86">
        <v>6</v>
      </c>
      <c r="CG100" s="86">
        <v>6</v>
      </c>
      <c r="CH100" s="84" t="s">
        <v>1758</v>
      </c>
      <c r="CI100" s="84" t="s">
        <v>857</v>
      </c>
      <c r="CJ100" s="84" t="s">
        <v>843</v>
      </c>
      <c r="CK100" s="86"/>
      <c r="CL100" s="86"/>
      <c r="CM100" s="86"/>
      <c r="CN100" s="86"/>
      <c r="CO100" s="86"/>
      <c r="CS100" s="86"/>
      <c r="CT100" s="86"/>
      <c r="CU100" s="86"/>
      <c r="CV100" s="87"/>
      <c r="CW100" s="86"/>
      <c r="DA100" s="82"/>
      <c r="DB100" s="82"/>
      <c r="DC100" s="82"/>
      <c r="DD100" s="167"/>
      <c r="DE100" s="82"/>
      <c r="DI100" s="82"/>
      <c r="DJ100" s="82"/>
      <c r="DK100" s="82"/>
      <c r="DL100" s="167"/>
      <c r="DM100" s="82"/>
      <c r="DN100" s="82"/>
      <c r="DQ100" s="82"/>
      <c r="DR100" s="82"/>
      <c r="DS100" s="82"/>
      <c r="DT100" s="167"/>
      <c r="DU100" s="82"/>
      <c r="DY100" s="86"/>
      <c r="DZ100" s="86"/>
      <c r="EA100" s="86"/>
      <c r="EB100" s="86"/>
      <c r="EC100" s="86"/>
      <c r="EG100" s="86"/>
      <c r="EH100" s="86"/>
      <c r="EI100" s="86"/>
      <c r="EJ100" s="86"/>
      <c r="EK100" s="86"/>
      <c r="EN100" s="86">
        <f t="shared" si="98"/>
        <v>0.69683257899999995</v>
      </c>
      <c r="EO100" s="90">
        <f t="shared" si="99"/>
        <v>0.46551388799999999</v>
      </c>
      <c r="EP100" s="86">
        <f t="shared" si="100"/>
        <v>6</v>
      </c>
      <c r="EQ100" s="86">
        <f t="shared" si="101"/>
        <v>6</v>
      </c>
      <c r="ER100" s="86">
        <f t="shared" si="102"/>
        <v>0.380090498</v>
      </c>
      <c r="ES100" s="90">
        <f t="shared" si="103"/>
        <v>0.46551388809017508</v>
      </c>
      <c r="ET100" s="86">
        <f t="shared" si="104"/>
        <v>6</v>
      </c>
      <c r="EU100" s="86">
        <f t="shared" si="105"/>
        <v>6</v>
      </c>
      <c r="EV100" s="86">
        <f t="shared" si="64"/>
        <v>0.46551388804508759</v>
      </c>
      <c r="EW100" s="86">
        <f t="shared" si="65"/>
        <v>0.6804138160735641</v>
      </c>
      <c r="EX100" s="86">
        <f t="shared" si="66"/>
        <v>0.35262345671265788</v>
      </c>
      <c r="EY100" s="86">
        <f t="shared" si="67"/>
        <v>0.92307692307692313</v>
      </c>
      <c r="EZ100" s="83">
        <f t="shared" si="68"/>
        <v>0.62807429176021301</v>
      </c>
      <c r="FA100" s="83">
        <f t="shared" si="69"/>
        <v>0.30046022347114049</v>
      </c>
      <c r="FB100" s="83">
        <f t="shared" si="70"/>
        <v>12</v>
      </c>
      <c r="FC100" s="84" t="s">
        <v>385</v>
      </c>
    </row>
    <row r="101" spans="1:159" s="84" customFormat="1" ht="17.100000000000001" customHeight="1">
      <c r="A101" s="78" t="s">
        <v>1799</v>
      </c>
      <c r="B101" s="91" t="s">
        <v>1918</v>
      </c>
      <c r="C101" s="80" t="str">
        <f t="shared" si="71"/>
        <v>Kerns, B. K., Thies, W. G., &amp; Niwa, C. G.  2006.  Season and severity of prescribed burn in ponderosa pine forests: implications for understory native and exotic plants. Ecoscience. 13: 44-55.</v>
      </c>
      <c r="D101" s="81" t="s">
        <v>1471</v>
      </c>
      <c r="E101" s="81">
        <v>2006</v>
      </c>
      <c r="F101" s="91" t="s">
        <v>844</v>
      </c>
      <c r="G101" s="91" t="s">
        <v>845</v>
      </c>
      <c r="H101" s="91">
        <v>13</v>
      </c>
      <c r="I101" s="92" t="s">
        <v>846</v>
      </c>
      <c r="J101" s="81" t="s">
        <v>1809</v>
      </c>
      <c r="K101" s="91" t="s">
        <v>847</v>
      </c>
      <c r="L101" s="84" t="s">
        <v>101</v>
      </c>
      <c r="M101" s="95" t="s">
        <v>73</v>
      </c>
      <c r="N101" s="84" t="s">
        <v>389</v>
      </c>
      <c r="P101" s="91" t="s">
        <v>16</v>
      </c>
      <c r="Q101" s="91" t="s">
        <v>587</v>
      </c>
      <c r="R101" s="91" t="s">
        <v>848</v>
      </c>
      <c r="S101" s="91"/>
      <c r="T101" s="91" t="s">
        <v>849</v>
      </c>
      <c r="U101" s="91" t="s">
        <v>850</v>
      </c>
      <c r="V101" s="91">
        <v>43.83</v>
      </c>
      <c r="W101" s="91">
        <v>-118.85</v>
      </c>
      <c r="X101" s="81" t="s">
        <v>851</v>
      </c>
      <c r="Y101" s="104" t="s">
        <v>1990</v>
      </c>
      <c r="Z101" s="66" t="s">
        <v>2205</v>
      </c>
      <c r="AA101" s="93" t="s">
        <v>49</v>
      </c>
      <c r="AB101" s="84" t="s">
        <v>103</v>
      </c>
      <c r="AC101" s="81" t="s">
        <v>136</v>
      </c>
      <c r="AD101" s="84" t="s">
        <v>1267</v>
      </c>
      <c r="AE101" s="84" t="s">
        <v>852</v>
      </c>
      <c r="AF101" s="84" t="s">
        <v>87</v>
      </c>
      <c r="AG101" s="84" t="s">
        <v>91</v>
      </c>
      <c r="AH101" s="84" t="s">
        <v>106</v>
      </c>
      <c r="AI101" s="84" t="s">
        <v>93</v>
      </c>
      <c r="AJ101" s="86">
        <v>6</v>
      </c>
      <c r="AK101" s="86">
        <v>1</v>
      </c>
      <c r="AL101" s="86">
        <v>1</v>
      </c>
      <c r="AM101" s="84" t="s">
        <v>853</v>
      </c>
      <c r="AN101" s="84" t="s">
        <v>690</v>
      </c>
      <c r="AO101" s="84" t="s">
        <v>524</v>
      </c>
      <c r="AP101" s="68" t="s">
        <v>2228</v>
      </c>
      <c r="AQ101" s="84" t="s">
        <v>95</v>
      </c>
      <c r="AR101" s="108">
        <v>1</v>
      </c>
      <c r="AS101" s="86">
        <v>6</v>
      </c>
      <c r="AT101" s="87" t="s">
        <v>854</v>
      </c>
      <c r="AU101" s="90"/>
      <c r="AV101" s="88">
        <v>0.21052631578947367</v>
      </c>
      <c r="AW101" s="84" t="s">
        <v>1621</v>
      </c>
      <c r="AX101" s="84" t="s">
        <v>80</v>
      </c>
      <c r="AY101" s="86">
        <v>6</v>
      </c>
      <c r="AZ101" s="86">
        <v>1</v>
      </c>
      <c r="BA101" s="86">
        <v>5</v>
      </c>
      <c r="BB101" s="87" t="s">
        <v>854</v>
      </c>
      <c r="BD101" s="93" t="s">
        <v>124</v>
      </c>
      <c r="BE101" s="84" t="s">
        <v>182</v>
      </c>
      <c r="BF101" s="83" t="s">
        <v>2156</v>
      </c>
      <c r="BG101" s="110" t="s">
        <v>21</v>
      </c>
      <c r="BH101" s="84" t="s">
        <v>81</v>
      </c>
      <c r="BI101" s="84" t="s">
        <v>855</v>
      </c>
      <c r="BJ101" s="89">
        <f t="shared" si="95"/>
        <v>4.75</v>
      </c>
      <c r="BK101" s="84">
        <v>57</v>
      </c>
      <c r="BL101" s="84">
        <v>57</v>
      </c>
      <c r="BM101" s="88">
        <v>4.75</v>
      </c>
      <c r="BN101" s="84" t="s">
        <v>379</v>
      </c>
      <c r="BO101" s="84" t="s">
        <v>856</v>
      </c>
      <c r="BP101" s="84" t="s">
        <v>64</v>
      </c>
      <c r="BR101" s="84" t="s">
        <v>1777</v>
      </c>
      <c r="BS101" s="84" t="s">
        <v>2135</v>
      </c>
      <c r="BT101" s="84" t="s">
        <v>1253</v>
      </c>
      <c r="BU101" s="114">
        <v>1.7737556560000001</v>
      </c>
      <c r="BV101" s="86">
        <v>0.31674208199999976</v>
      </c>
      <c r="BW101" s="114">
        <v>0.77585648096678761</v>
      </c>
      <c r="BX101" s="86">
        <v>6</v>
      </c>
      <c r="BY101" s="86">
        <v>6</v>
      </c>
      <c r="BZ101" s="84" t="s">
        <v>1758</v>
      </c>
      <c r="CA101" s="84" t="s">
        <v>1860</v>
      </c>
      <c r="CB101" s="84" t="s">
        <v>80</v>
      </c>
      <c r="CC101" s="114">
        <v>0.380090498</v>
      </c>
      <c r="CD101" s="119">
        <v>0.190045249</v>
      </c>
      <c r="CE101" s="90">
        <v>0.46551388809017508</v>
      </c>
      <c r="CF101" s="86">
        <v>6</v>
      </c>
      <c r="CG101" s="86">
        <v>6</v>
      </c>
      <c r="CH101" s="84" t="s">
        <v>1758</v>
      </c>
      <c r="CI101" s="84" t="s">
        <v>857</v>
      </c>
      <c r="CJ101" s="84" t="s">
        <v>843</v>
      </c>
      <c r="CK101" s="86"/>
      <c r="CL101" s="86"/>
      <c r="CM101" s="86"/>
      <c r="CN101" s="86"/>
      <c r="CO101" s="86"/>
      <c r="CS101" s="86"/>
      <c r="CT101" s="86"/>
      <c r="CU101" s="86"/>
      <c r="CV101" s="87"/>
      <c r="CW101" s="86"/>
      <c r="DA101" s="82"/>
      <c r="DB101" s="82"/>
      <c r="DC101" s="82"/>
      <c r="DD101" s="167"/>
      <c r="DE101" s="82"/>
      <c r="DI101" s="82"/>
      <c r="DJ101" s="82"/>
      <c r="DK101" s="82"/>
      <c r="DL101" s="167"/>
      <c r="DM101" s="82"/>
      <c r="DN101" s="82"/>
      <c r="DQ101" s="82"/>
      <c r="DR101" s="82"/>
      <c r="DS101" s="82"/>
      <c r="DT101" s="167"/>
      <c r="DU101" s="82"/>
      <c r="DY101" s="86"/>
      <c r="DZ101" s="86"/>
      <c r="EA101" s="86"/>
      <c r="EB101" s="86"/>
      <c r="EC101" s="86"/>
      <c r="EG101" s="86"/>
      <c r="EH101" s="86"/>
      <c r="EI101" s="86"/>
      <c r="EJ101" s="86"/>
      <c r="EK101" s="86"/>
      <c r="EN101" s="86">
        <f t="shared" si="98"/>
        <v>1.7737556560000001</v>
      </c>
      <c r="EO101" s="90">
        <f t="shared" si="99"/>
        <v>0.77585648096678761</v>
      </c>
      <c r="EP101" s="86">
        <f t="shared" si="100"/>
        <v>6</v>
      </c>
      <c r="EQ101" s="86">
        <f t="shared" si="101"/>
        <v>6</v>
      </c>
      <c r="ER101" s="86">
        <f t="shared" si="102"/>
        <v>0.380090498</v>
      </c>
      <c r="ES101" s="90">
        <f t="shared" si="103"/>
        <v>0.46551388809017508</v>
      </c>
      <c r="ET101" s="86">
        <f t="shared" si="104"/>
        <v>6</v>
      </c>
      <c r="EU101" s="86">
        <f t="shared" si="105"/>
        <v>6</v>
      </c>
      <c r="EV101" s="86">
        <f t="shared" si="64"/>
        <v>0.63978764409099032</v>
      </c>
      <c r="EW101" s="86">
        <f t="shared" si="65"/>
        <v>2.1783245907790518</v>
      </c>
      <c r="EX101" s="86">
        <f t="shared" si="66"/>
        <v>0.53104575094969686</v>
      </c>
      <c r="EY101" s="86">
        <f t="shared" si="67"/>
        <v>0.92307692307692313</v>
      </c>
      <c r="EZ101" s="83">
        <f t="shared" si="68"/>
        <v>2.0107611607191247</v>
      </c>
      <c r="FA101" s="83">
        <f t="shared" si="69"/>
        <v>0.45248868719974178</v>
      </c>
      <c r="FB101" s="83">
        <f t="shared" si="70"/>
        <v>12</v>
      </c>
      <c r="FC101" s="84" t="s">
        <v>385</v>
      </c>
    </row>
    <row r="102" spans="1:159" s="84" customFormat="1" ht="17.100000000000001" customHeight="1">
      <c r="A102" s="78" t="s">
        <v>1842</v>
      </c>
      <c r="B102" s="96" t="s">
        <v>1911</v>
      </c>
      <c r="C102" s="80" t="str">
        <f t="shared" si="71"/>
        <v>Kerns, B. K., Buonopane, M., Thies, W. G., &amp; Niwa, C. 2011.  Reintroducing fire into a ponderosa pine forest with and without cattle grazing: understory vegetation response. Ecosphere. 2 (5): 59: 1-23.</v>
      </c>
      <c r="D102" s="91" t="s">
        <v>1509</v>
      </c>
      <c r="E102" s="91">
        <v>2011</v>
      </c>
      <c r="F102" s="96" t="s">
        <v>1025</v>
      </c>
      <c r="G102" s="96" t="s">
        <v>1026</v>
      </c>
      <c r="H102" s="91" t="s">
        <v>1027</v>
      </c>
      <c r="I102" s="92" t="s">
        <v>1028</v>
      </c>
      <c r="J102" s="79" t="s">
        <v>1838</v>
      </c>
      <c r="K102" s="96" t="s">
        <v>1029</v>
      </c>
      <c r="L102" s="82" t="s">
        <v>101</v>
      </c>
      <c r="M102" s="83" t="s">
        <v>73</v>
      </c>
      <c r="N102" s="82" t="s">
        <v>389</v>
      </c>
      <c r="O102" s="82"/>
      <c r="P102" s="91" t="s">
        <v>16</v>
      </c>
      <c r="Q102" s="96" t="s">
        <v>587</v>
      </c>
      <c r="R102" s="96" t="s">
        <v>848</v>
      </c>
      <c r="S102" s="96"/>
      <c r="T102" s="96" t="s">
        <v>849</v>
      </c>
      <c r="U102" s="173" t="s">
        <v>850</v>
      </c>
      <c r="V102" s="91">
        <v>43.83</v>
      </c>
      <c r="W102" s="91">
        <v>-118.85</v>
      </c>
      <c r="X102" s="91" t="s">
        <v>851</v>
      </c>
      <c r="Y102" s="104" t="s">
        <v>1990</v>
      </c>
      <c r="Z102" s="66" t="s">
        <v>2205</v>
      </c>
      <c r="AA102" s="97" t="s">
        <v>49</v>
      </c>
      <c r="AB102" s="79" t="s">
        <v>103</v>
      </c>
      <c r="AC102" s="82" t="s">
        <v>135</v>
      </c>
      <c r="AD102" s="82"/>
      <c r="AE102" s="82"/>
      <c r="AF102" s="82" t="s">
        <v>87</v>
      </c>
      <c r="AG102" s="82" t="s">
        <v>92</v>
      </c>
      <c r="AH102" s="82" t="s">
        <v>106</v>
      </c>
      <c r="AI102" s="82" t="s">
        <v>93</v>
      </c>
      <c r="AJ102" s="86">
        <v>4</v>
      </c>
      <c r="AK102" s="86">
        <v>2</v>
      </c>
      <c r="AL102" s="86">
        <v>2</v>
      </c>
      <c r="AM102" s="84" t="s">
        <v>1030</v>
      </c>
      <c r="AN102" s="84" t="s">
        <v>929</v>
      </c>
      <c r="AO102" s="84" t="s">
        <v>524</v>
      </c>
      <c r="AP102" s="68" t="s">
        <v>2228</v>
      </c>
      <c r="AQ102" s="82" t="s">
        <v>88</v>
      </c>
      <c r="AR102" s="86">
        <v>3</v>
      </c>
      <c r="AS102" s="86">
        <v>8</v>
      </c>
      <c r="AT102" s="86"/>
      <c r="AU102" s="87" t="s">
        <v>226</v>
      </c>
      <c r="AV102" s="88">
        <v>0.20338983050847456</v>
      </c>
      <c r="AW102" s="82"/>
      <c r="AX102" s="82" t="s">
        <v>80</v>
      </c>
      <c r="AY102" s="86">
        <v>4</v>
      </c>
      <c r="AZ102" s="86">
        <v>3</v>
      </c>
      <c r="BA102" s="86">
        <v>8</v>
      </c>
      <c r="BB102" s="86"/>
      <c r="BC102" s="82"/>
      <c r="BD102" s="83" t="s">
        <v>124</v>
      </c>
      <c r="BE102" s="82" t="s">
        <v>182</v>
      </c>
      <c r="BF102" s="83" t="s">
        <v>2156</v>
      </c>
      <c r="BG102" s="82" t="s">
        <v>21</v>
      </c>
      <c r="BH102" s="82" t="s">
        <v>1031</v>
      </c>
      <c r="BI102" s="84" t="s">
        <v>365</v>
      </c>
      <c r="BJ102" s="89">
        <f t="shared" si="95"/>
        <v>9.8333333333333339</v>
      </c>
      <c r="BK102" s="84">
        <v>118</v>
      </c>
      <c r="BL102" s="84">
        <v>58</v>
      </c>
      <c r="BM102" s="88">
        <v>4.833333333333333</v>
      </c>
      <c r="BN102" s="82" t="s">
        <v>389</v>
      </c>
      <c r="BO102" s="82" t="s">
        <v>703</v>
      </c>
      <c r="BP102" s="82" t="s">
        <v>64</v>
      </c>
      <c r="BQ102" s="82"/>
      <c r="BR102" s="82" t="s">
        <v>1032</v>
      </c>
      <c r="BS102" s="82" t="s">
        <v>2135</v>
      </c>
      <c r="BT102" s="82" t="s">
        <v>573</v>
      </c>
      <c r="BU102" s="86">
        <v>1.8</v>
      </c>
      <c r="BV102" s="86">
        <v>1.2</v>
      </c>
      <c r="BW102" s="86">
        <v>1.22</v>
      </c>
      <c r="BX102" s="86">
        <v>4</v>
      </c>
      <c r="BY102" s="86">
        <v>4</v>
      </c>
      <c r="BZ102" s="82" t="s">
        <v>1033</v>
      </c>
      <c r="CA102" s="82"/>
      <c r="CB102" s="82" t="s">
        <v>80</v>
      </c>
      <c r="CC102" s="86">
        <v>0.83</v>
      </c>
      <c r="CD102" s="86">
        <v>0.18</v>
      </c>
      <c r="CE102" s="86">
        <v>0.18</v>
      </c>
      <c r="CF102" s="86">
        <v>4</v>
      </c>
      <c r="CG102" s="86">
        <v>4</v>
      </c>
      <c r="CH102" s="82" t="s">
        <v>1033</v>
      </c>
      <c r="CI102" s="82"/>
      <c r="CJ102" s="82"/>
      <c r="CK102" s="86"/>
      <c r="CL102" s="86"/>
      <c r="CM102" s="86"/>
      <c r="CN102" s="86"/>
      <c r="CO102" s="86"/>
      <c r="CP102" s="82"/>
      <c r="CQ102" s="82"/>
      <c r="CR102" s="82"/>
      <c r="CS102" s="86"/>
      <c r="CT102" s="86"/>
      <c r="CU102" s="86"/>
      <c r="CV102" s="86"/>
      <c r="CW102" s="86"/>
      <c r="CX102" s="82"/>
      <c r="CY102" s="82"/>
      <c r="CZ102" s="82"/>
      <c r="DA102" s="82"/>
      <c r="DB102" s="82"/>
      <c r="DC102" s="82"/>
      <c r="DD102" s="82"/>
      <c r="DE102" s="82"/>
      <c r="DF102" s="82"/>
      <c r="DG102" s="82"/>
      <c r="DH102" s="82"/>
      <c r="DI102" s="82"/>
      <c r="DJ102" s="82"/>
      <c r="DK102" s="82"/>
      <c r="DL102" s="82"/>
      <c r="DM102" s="82"/>
      <c r="DN102" s="82"/>
      <c r="DO102" s="82"/>
      <c r="DP102" s="82"/>
      <c r="DQ102" s="82"/>
      <c r="DR102" s="82"/>
      <c r="DS102" s="82"/>
      <c r="DT102" s="82"/>
      <c r="DU102" s="82"/>
      <c r="DV102" s="82"/>
      <c r="DW102" s="82"/>
      <c r="DX102" s="82"/>
      <c r="DY102" s="86"/>
      <c r="DZ102" s="86"/>
      <c r="EA102" s="86"/>
      <c r="EB102" s="86"/>
      <c r="EC102" s="86"/>
      <c r="ED102" s="82"/>
      <c r="EE102" s="82"/>
      <c r="EF102" s="82"/>
      <c r="EG102" s="86"/>
      <c r="EH102" s="86"/>
      <c r="EI102" s="86"/>
      <c r="EJ102" s="86"/>
      <c r="EK102" s="86"/>
      <c r="EL102" s="82"/>
      <c r="EM102" s="82"/>
      <c r="EN102" s="86">
        <f t="shared" si="98"/>
        <v>1.8</v>
      </c>
      <c r="EO102" s="90">
        <f t="shared" si="99"/>
        <v>1.22</v>
      </c>
      <c r="EP102" s="86">
        <f t="shared" si="100"/>
        <v>4</v>
      </c>
      <c r="EQ102" s="86">
        <f t="shared" si="101"/>
        <v>4</v>
      </c>
      <c r="ER102" s="86">
        <f t="shared" si="102"/>
        <v>0.83</v>
      </c>
      <c r="ES102" s="90">
        <f t="shared" si="103"/>
        <v>0.18</v>
      </c>
      <c r="ET102" s="86">
        <f t="shared" si="104"/>
        <v>4</v>
      </c>
      <c r="EU102" s="86">
        <f t="shared" si="105"/>
        <v>4</v>
      </c>
      <c r="EV102" s="86">
        <f t="shared" ref="EV102:EV113" si="106">SQRT((((EP102-1)*EO102^2)+((ET102-1)*ES102^2))/((EP102+ET102)-2))</f>
        <v>0.87200917426366553</v>
      </c>
      <c r="EW102" s="86">
        <f t="shared" ref="EW102:EW113" si="107">(EN102-ER102)/EV102</f>
        <v>1.1123736178797421</v>
      </c>
      <c r="EX102" s="86">
        <f t="shared" ref="EX102:EX113" si="108">((EQ102+EU102)/(EQ102*EU102))+((EW102^2)/(2*(EP102+ET102)))</f>
        <v>0.57733594160967916</v>
      </c>
      <c r="EY102" s="86">
        <f t="shared" ref="EY102:EY113" si="109">1-(3/((4*(EP102+ET102-2))-1))</f>
        <v>0.86956521739130432</v>
      </c>
      <c r="EZ102" s="83">
        <f t="shared" ref="EZ102:EZ113" si="110">EY102*EW102</f>
        <v>0.96728140685194963</v>
      </c>
      <c r="FA102" s="83">
        <f t="shared" ref="FA102:FA113" si="111">(EY102^2)*EX102</f>
        <v>0.43654891615098612</v>
      </c>
      <c r="FB102" s="83">
        <f t="shared" ref="FB102:FB113" si="112">EQ102+EU102</f>
        <v>8</v>
      </c>
      <c r="FC102" s="82" t="s">
        <v>385</v>
      </c>
    </row>
    <row r="103" spans="1:159" s="84" customFormat="1" ht="17.100000000000001" customHeight="1">
      <c r="A103" s="78" t="s">
        <v>1842</v>
      </c>
      <c r="B103" s="96" t="s">
        <v>1912</v>
      </c>
      <c r="C103" s="80" t="str">
        <f t="shared" si="71"/>
        <v>Kerns, B. K., Buonopane, M., Thies, W. G., &amp; Niwa, C. 2011.  Reintroducing fire into a ponderosa pine forest with and without cattle grazing: understory vegetation response. Ecosphere. 2 (5): 59: 1-23.</v>
      </c>
      <c r="D103" s="91" t="s">
        <v>1509</v>
      </c>
      <c r="E103" s="91">
        <v>2011</v>
      </c>
      <c r="F103" s="96" t="s">
        <v>1025</v>
      </c>
      <c r="G103" s="96" t="s">
        <v>1026</v>
      </c>
      <c r="H103" s="91" t="s">
        <v>1027</v>
      </c>
      <c r="I103" s="92" t="s">
        <v>1028</v>
      </c>
      <c r="J103" s="79" t="s">
        <v>1838</v>
      </c>
      <c r="K103" s="96" t="s">
        <v>1029</v>
      </c>
      <c r="L103" s="82" t="s">
        <v>101</v>
      </c>
      <c r="M103" s="83" t="s">
        <v>73</v>
      </c>
      <c r="N103" s="82" t="s">
        <v>389</v>
      </c>
      <c r="O103" s="82"/>
      <c r="P103" s="91" t="s">
        <v>16</v>
      </c>
      <c r="Q103" s="96" t="s">
        <v>587</v>
      </c>
      <c r="R103" s="96" t="s">
        <v>848</v>
      </c>
      <c r="S103" s="96"/>
      <c r="T103" s="96" t="s">
        <v>849</v>
      </c>
      <c r="U103" s="96" t="s">
        <v>850</v>
      </c>
      <c r="V103" s="91">
        <v>43.83</v>
      </c>
      <c r="W103" s="91">
        <v>-118.85</v>
      </c>
      <c r="X103" s="91" t="s">
        <v>851</v>
      </c>
      <c r="Y103" s="104" t="s">
        <v>1990</v>
      </c>
      <c r="Z103" s="66" t="s">
        <v>2205</v>
      </c>
      <c r="AA103" s="97" t="s">
        <v>49</v>
      </c>
      <c r="AB103" s="79" t="s">
        <v>103</v>
      </c>
      <c r="AC103" s="82" t="s">
        <v>135</v>
      </c>
      <c r="AD103" s="82"/>
      <c r="AE103" s="82"/>
      <c r="AF103" s="82" t="s">
        <v>87</v>
      </c>
      <c r="AG103" s="82" t="s">
        <v>92</v>
      </c>
      <c r="AH103" s="82" t="s">
        <v>106</v>
      </c>
      <c r="AI103" s="82" t="s">
        <v>93</v>
      </c>
      <c r="AJ103" s="86">
        <v>4</v>
      </c>
      <c r="AK103" s="86">
        <v>2</v>
      </c>
      <c r="AL103" s="86">
        <v>2</v>
      </c>
      <c r="AM103" s="84" t="s">
        <v>1030</v>
      </c>
      <c r="AN103" s="84" t="s">
        <v>1021</v>
      </c>
      <c r="AO103" s="84" t="s">
        <v>1114</v>
      </c>
      <c r="AP103" s="68" t="s">
        <v>2227</v>
      </c>
      <c r="AQ103" s="82" t="s">
        <v>88</v>
      </c>
      <c r="AR103" s="86">
        <v>3</v>
      </c>
      <c r="AS103" s="86">
        <v>8</v>
      </c>
      <c r="AT103" s="86"/>
      <c r="AU103" s="87" t="s">
        <v>439</v>
      </c>
      <c r="AV103" s="88">
        <v>0.22222222222222221</v>
      </c>
      <c r="AW103" s="82">
        <f>108/12</f>
        <v>9</v>
      </c>
      <c r="AX103" s="82" t="s">
        <v>80</v>
      </c>
      <c r="AY103" s="86">
        <v>4</v>
      </c>
      <c r="AZ103" s="86">
        <v>3</v>
      </c>
      <c r="BA103" s="86">
        <v>8</v>
      </c>
      <c r="BB103" s="86"/>
      <c r="BC103" s="82"/>
      <c r="BD103" s="83" t="s">
        <v>124</v>
      </c>
      <c r="BE103" s="82" t="s">
        <v>182</v>
      </c>
      <c r="BF103" s="83" t="s">
        <v>2156</v>
      </c>
      <c r="BG103" s="82" t="s">
        <v>21</v>
      </c>
      <c r="BH103" s="82" t="s">
        <v>1031</v>
      </c>
      <c r="BI103" s="84" t="s">
        <v>365</v>
      </c>
      <c r="BJ103" s="89">
        <f t="shared" si="95"/>
        <v>9</v>
      </c>
      <c r="BK103" s="84">
        <v>108</v>
      </c>
      <c r="BL103" s="84">
        <v>48</v>
      </c>
      <c r="BM103" s="88">
        <v>4</v>
      </c>
      <c r="BN103" s="82" t="s">
        <v>389</v>
      </c>
      <c r="BO103" s="82" t="s">
        <v>703</v>
      </c>
      <c r="BP103" s="82" t="s">
        <v>64</v>
      </c>
      <c r="BQ103" s="82"/>
      <c r="BR103" s="82" t="s">
        <v>1032</v>
      </c>
      <c r="BS103" s="82" t="s">
        <v>2135</v>
      </c>
      <c r="BT103" s="82" t="s">
        <v>573</v>
      </c>
      <c r="BU103" s="67">
        <v>0.71</v>
      </c>
      <c r="BV103" s="67">
        <v>0.05</v>
      </c>
      <c r="BW103" s="67">
        <v>0.05</v>
      </c>
      <c r="BX103" s="86">
        <v>4</v>
      </c>
      <c r="BY103" s="86">
        <v>4</v>
      </c>
      <c r="BZ103" s="82" t="s">
        <v>1033</v>
      </c>
      <c r="CA103" s="82"/>
      <c r="CB103" s="63" t="s">
        <v>80</v>
      </c>
      <c r="CC103" s="86">
        <v>0.83</v>
      </c>
      <c r="CD103" s="86">
        <v>0.18</v>
      </c>
      <c r="CE103" s="67">
        <v>0.18</v>
      </c>
      <c r="CF103" s="86">
        <v>4</v>
      </c>
      <c r="CG103" s="86">
        <v>4</v>
      </c>
      <c r="CH103" s="82" t="s">
        <v>1033</v>
      </c>
      <c r="CI103" s="82"/>
      <c r="CJ103" s="63"/>
      <c r="CK103" s="67"/>
      <c r="CL103" s="67"/>
      <c r="CM103" s="67"/>
      <c r="CN103" s="67"/>
      <c r="CO103" s="67"/>
      <c r="CP103" s="63"/>
      <c r="CQ103" s="63"/>
      <c r="CR103" s="63"/>
      <c r="CS103" s="67"/>
      <c r="CT103" s="67"/>
      <c r="CU103" s="67"/>
      <c r="CV103" s="67"/>
      <c r="CW103" s="67"/>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7"/>
      <c r="DZ103" s="67"/>
      <c r="EA103" s="67"/>
      <c r="EB103" s="67"/>
      <c r="EC103" s="67"/>
      <c r="ED103" s="63"/>
      <c r="EE103" s="63"/>
      <c r="EF103" s="63"/>
      <c r="EG103" s="67"/>
      <c r="EH103" s="67"/>
      <c r="EI103" s="67"/>
      <c r="EJ103" s="67"/>
      <c r="EK103" s="67"/>
      <c r="EL103" s="63"/>
      <c r="EM103" s="63"/>
      <c r="EN103" s="86">
        <f t="shared" si="98"/>
        <v>0.71</v>
      </c>
      <c r="EO103" s="90">
        <f t="shared" si="99"/>
        <v>0.05</v>
      </c>
      <c r="EP103" s="86">
        <f t="shared" si="100"/>
        <v>4</v>
      </c>
      <c r="EQ103" s="86">
        <f t="shared" si="101"/>
        <v>4</v>
      </c>
      <c r="ER103" s="86">
        <f t="shared" si="102"/>
        <v>0.83</v>
      </c>
      <c r="ES103" s="90">
        <f t="shared" si="103"/>
        <v>0.18</v>
      </c>
      <c r="ET103" s="86">
        <f t="shared" si="104"/>
        <v>4</v>
      </c>
      <c r="EU103" s="86">
        <f t="shared" si="105"/>
        <v>4</v>
      </c>
      <c r="EV103" s="86">
        <f t="shared" si="106"/>
        <v>0.13209844813622906</v>
      </c>
      <c r="EW103" s="86">
        <f t="shared" si="107"/>
        <v>-0.90841339692535739</v>
      </c>
      <c r="EX103" s="86">
        <f t="shared" si="108"/>
        <v>0.5515759312320917</v>
      </c>
      <c r="EY103" s="86">
        <f t="shared" si="109"/>
        <v>0.86956521739130432</v>
      </c>
      <c r="EZ103" s="83">
        <f t="shared" si="110"/>
        <v>-0.7899246929785716</v>
      </c>
      <c r="FA103" s="83">
        <f t="shared" si="111"/>
        <v>0.41707064743447386</v>
      </c>
      <c r="FB103" s="83">
        <f t="shared" si="112"/>
        <v>8</v>
      </c>
      <c r="FC103" s="82" t="s">
        <v>385</v>
      </c>
    </row>
    <row r="104" spans="1:159" s="84" customFormat="1" ht="17.100000000000001" customHeight="1">
      <c r="A104" s="78" t="s">
        <v>1808</v>
      </c>
      <c r="B104" s="91" t="s">
        <v>1915</v>
      </c>
      <c r="C104" s="80" t="str">
        <f t="shared" si="71"/>
        <v>King, R. 2000.  Effects of single burn events on degraded oak savanna. Ecological Restoration. 18 (4): 228-233.</v>
      </c>
      <c r="D104" s="81" t="s">
        <v>1477</v>
      </c>
      <c r="E104" s="81">
        <v>2000</v>
      </c>
      <c r="F104" s="91" t="s">
        <v>1532</v>
      </c>
      <c r="G104" s="91" t="s">
        <v>1128</v>
      </c>
      <c r="H104" s="91" t="s">
        <v>919</v>
      </c>
      <c r="I104" s="91" t="s">
        <v>920</v>
      </c>
      <c r="J104" s="81"/>
      <c r="K104" s="92" t="s">
        <v>921</v>
      </c>
      <c r="L104" s="84" t="s">
        <v>18</v>
      </c>
      <c r="M104" s="95" t="s">
        <v>73</v>
      </c>
      <c r="N104" s="84" t="s">
        <v>389</v>
      </c>
      <c r="P104" s="91" t="s">
        <v>16</v>
      </c>
      <c r="Q104" s="91" t="s">
        <v>876</v>
      </c>
      <c r="R104" s="91" t="s">
        <v>922</v>
      </c>
      <c r="S104" s="91"/>
      <c r="T104" s="91" t="s">
        <v>923</v>
      </c>
      <c r="U104" s="91" t="s">
        <v>924</v>
      </c>
      <c r="V104" s="91">
        <v>44.13</v>
      </c>
      <c r="W104" s="91">
        <v>-90.18</v>
      </c>
      <c r="X104" s="81"/>
      <c r="Y104" s="66" t="s">
        <v>1897</v>
      </c>
      <c r="Z104" s="66" t="s">
        <v>2203</v>
      </c>
      <c r="AA104" s="109" t="s">
        <v>97</v>
      </c>
      <c r="AB104" s="84" t="s">
        <v>103</v>
      </c>
      <c r="AC104" s="81" t="s">
        <v>137</v>
      </c>
      <c r="AF104" s="112" t="s">
        <v>64</v>
      </c>
      <c r="AG104" s="112" t="s">
        <v>92</v>
      </c>
      <c r="AH104" s="112" t="s">
        <v>106</v>
      </c>
      <c r="AI104" s="84" t="s">
        <v>93</v>
      </c>
      <c r="AJ104" s="114">
        <v>3</v>
      </c>
      <c r="AK104" s="114">
        <v>1</v>
      </c>
      <c r="AL104" s="114">
        <v>1</v>
      </c>
      <c r="AM104" s="174" t="s">
        <v>64</v>
      </c>
      <c r="AN104" s="84" t="s">
        <v>521</v>
      </c>
      <c r="AO104" s="84" t="s">
        <v>526</v>
      </c>
      <c r="AP104" s="68" t="s">
        <v>2227</v>
      </c>
      <c r="AQ104" s="84" t="s">
        <v>95</v>
      </c>
      <c r="AR104" s="86">
        <v>1</v>
      </c>
      <c r="AS104" s="86">
        <v>1</v>
      </c>
      <c r="AT104" s="86"/>
      <c r="AU104" s="90"/>
      <c r="AV104" s="88">
        <v>1</v>
      </c>
      <c r="AW104" s="84" t="s">
        <v>1622</v>
      </c>
      <c r="AX104" s="91" t="s">
        <v>80</v>
      </c>
      <c r="AY104" s="86">
        <v>3</v>
      </c>
      <c r="AZ104" s="119">
        <v>1</v>
      </c>
      <c r="BA104" s="86">
        <v>1</v>
      </c>
      <c r="BB104" s="86"/>
      <c r="BD104" s="113" t="s">
        <v>124</v>
      </c>
      <c r="BE104" s="112" t="s">
        <v>182</v>
      </c>
      <c r="BF104" s="93" t="s">
        <v>111</v>
      </c>
      <c r="BG104" s="112" t="s">
        <v>21</v>
      </c>
      <c r="BH104" s="112" t="s">
        <v>81</v>
      </c>
      <c r="BI104" s="84" t="s">
        <v>925</v>
      </c>
      <c r="BJ104" s="89">
        <f t="shared" si="95"/>
        <v>8.3333333333333329E-2</v>
      </c>
      <c r="BK104" s="84">
        <v>1</v>
      </c>
      <c r="BL104" s="84">
        <v>1</v>
      </c>
      <c r="BM104" s="88">
        <v>8.3333333333333329E-2</v>
      </c>
      <c r="BN104" s="84" t="s">
        <v>379</v>
      </c>
      <c r="BO104" s="84" t="s">
        <v>926</v>
      </c>
      <c r="BP104" s="84" t="s">
        <v>64</v>
      </c>
      <c r="BQ104" s="112"/>
      <c r="BR104" s="81" t="s">
        <v>69</v>
      </c>
      <c r="BS104" s="81" t="s">
        <v>894</v>
      </c>
      <c r="BU104" s="86"/>
      <c r="BV104" s="86"/>
      <c r="BW104" s="90"/>
      <c r="BX104" s="86"/>
      <c r="BY104" s="86"/>
      <c r="CC104" s="86"/>
      <c r="CD104" s="86"/>
      <c r="CE104" s="90"/>
      <c r="CF104" s="86"/>
      <c r="CG104" s="86"/>
      <c r="CK104" s="86"/>
      <c r="CL104" s="86"/>
      <c r="CM104" s="86"/>
      <c r="CN104" s="86"/>
      <c r="CO104" s="86"/>
      <c r="CR104" s="84" t="s">
        <v>1256</v>
      </c>
      <c r="CS104" s="86">
        <v>1.84</v>
      </c>
      <c r="CT104" s="86">
        <v>7.0000000000000007E-2</v>
      </c>
      <c r="CU104" s="86">
        <v>0.12124355652982141</v>
      </c>
      <c r="CV104" s="86">
        <v>3</v>
      </c>
      <c r="CW104" s="86">
        <v>3</v>
      </c>
      <c r="CX104" s="84" t="s">
        <v>351</v>
      </c>
      <c r="CY104" s="84" t="s">
        <v>927</v>
      </c>
      <c r="CZ104" s="84" t="s">
        <v>80</v>
      </c>
      <c r="DA104" s="82">
        <v>1.69</v>
      </c>
      <c r="DB104" s="82">
        <v>0.01</v>
      </c>
      <c r="DC104" s="82">
        <v>1.7320508075688773E-2</v>
      </c>
      <c r="DD104" s="82">
        <v>3</v>
      </c>
      <c r="DE104" s="82">
        <v>3</v>
      </c>
      <c r="DF104" s="84" t="s">
        <v>351</v>
      </c>
      <c r="DG104" s="84" t="s">
        <v>927</v>
      </c>
      <c r="DH104" s="84" t="s">
        <v>1256</v>
      </c>
      <c r="DI104" s="82">
        <v>1.84</v>
      </c>
      <c r="DJ104" s="82">
        <v>7.0000000000000007E-2</v>
      </c>
      <c r="DK104" s="82">
        <v>0.12124355652982141</v>
      </c>
      <c r="DL104" s="82">
        <v>3</v>
      </c>
      <c r="DM104" s="82">
        <v>3</v>
      </c>
      <c r="DN104" s="82" t="s">
        <v>351</v>
      </c>
      <c r="DO104" s="84" t="s">
        <v>927</v>
      </c>
      <c r="DP104" s="84" t="s">
        <v>80</v>
      </c>
      <c r="DQ104" s="82">
        <v>1.42</v>
      </c>
      <c r="DR104" s="82">
        <v>0.1</v>
      </c>
      <c r="DS104" s="82">
        <v>0.17320508075688773</v>
      </c>
      <c r="DT104" s="82">
        <v>3</v>
      </c>
      <c r="DU104" s="82">
        <v>3</v>
      </c>
      <c r="DV104" s="84" t="s">
        <v>351</v>
      </c>
      <c r="DW104" s="84" t="s">
        <v>927</v>
      </c>
      <c r="DX104" s="84" t="s">
        <v>1747</v>
      </c>
      <c r="DY104" s="86">
        <f t="shared" ref="DY104:DY113" si="113">DI104-CS104</f>
        <v>0</v>
      </c>
      <c r="DZ104" s="86"/>
      <c r="EA104" s="86">
        <f t="shared" ref="EA104:EA113" si="114">SQRT((CU104^2)+(DK104^2))</f>
        <v>0.17146428199482247</v>
      </c>
      <c r="EB104" s="86">
        <v>3</v>
      </c>
      <c r="EC104" s="86">
        <v>3</v>
      </c>
      <c r="ED104" s="84" t="s">
        <v>1743</v>
      </c>
      <c r="EE104" s="84" t="s">
        <v>1744</v>
      </c>
      <c r="EF104" s="84" t="s">
        <v>1746</v>
      </c>
      <c r="EG104" s="86">
        <f t="shared" ref="EG104:EG113" si="115">DQ104-DA104</f>
        <v>-0.27</v>
      </c>
      <c r="EH104" s="86"/>
      <c r="EI104" s="86">
        <f t="shared" ref="EI104:EI113" si="116">SQRT((DS104^2)+(DC104^2))</f>
        <v>0.17406895185529211</v>
      </c>
      <c r="EJ104" s="86">
        <v>3</v>
      </c>
      <c r="EK104" s="86">
        <v>3</v>
      </c>
      <c r="EL104" s="84" t="s">
        <v>1743</v>
      </c>
      <c r="EM104" s="84" t="s">
        <v>1745</v>
      </c>
      <c r="EN104" s="86">
        <f t="shared" ref="EN104:EN113" si="117">DY104</f>
        <v>0</v>
      </c>
      <c r="EO104" s="86">
        <f t="shared" ref="EO104:EO113" si="118">EA104</f>
        <v>0.17146428199482247</v>
      </c>
      <c r="EP104" s="86">
        <f t="shared" ref="EP104:EP113" si="119">EB104</f>
        <v>3</v>
      </c>
      <c r="EQ104" s="86">
        <f t="shared" ref="EQ104:EQ113" si="120">EC104</f>
        <v>3</v>
      </c>
      <c r="ER104" s="86">
        <f t="shared" ref="ER104:ER113" si="121">EG104</f>
        <v>-0.27</v>
      </c>
      <c r="ES104" s="86">
        <f t="shared" ref="ES104:ES113" si="122">EI104</f>
        <v>0.17406895185529211</v>
      </c>
      <c r="ET104" s="86">
        <f t="shared" ref="ET104:ET113" si="123">EJ104</f>
        <v>3</v>
      </c>
      <c r="EU104" s="86">
        <f t="shared" ref="EU104:EU113" si="124">EK104</f>
        <v>3</v>
      </c>
      <c r="EV104" s="86">
        <f t="shared" si="106"/>
        <v>0.17277152543170995</v>
      </c>
      <c r="EW104" s="86">
        <f t="shared" si="107"/>
        <v>1.5627575164677283</v>
      </c>
      <c r="EX104" s="86">
        <f t="shared" si="108"/>
        <v>0.87018425460636517</v>
      </c>
      <c r="EY104" s="86">
        <f t="shared" si="109"/>
        <v>0.8</v>
      </c>
      <c r="EZ104" s="83">
        <f t="shared" si="110"/>
        <v>1.2502060131741828</v>
      </c>
      <c r="FA104" s="83">
        <f t="shared" si="111"/>
        <v>0.55691792294807385</v>
      </c>
      <c r="FB104" s="83">
        <f t="shared" si="112"/>
        <v>6</v>
      </c>
      <c r="FC104" s="84" t="s">
        <v>385</v>
      </c>
    </row>
    <row r="105" spans="1:159" s="84" customFormat="1" ht="17.100000000000001" customHeight="1">
      <c r="A105" s="78" t="s">
        <v>1808</v>
      </c>
      <c r="B105" s="91" t="s">
        <v>1915</v>
      </c>
      <c r="C105" s="80" t="str">
        <f t="shared" si="71"/>
        <v>King, R. 2000.  Effects of single burn events on degraded oak savanna. Ecological Restoration. 18 (4): 228-233.</v>
      </c>
      <c r="D105" s="81" t="s">
        <v>1477</v>
      </c>
      <c r="E105" s="81">
        <v>2000</v>
      </c>
      <c r="F105" s="91" t="s">
        <v>1532</v>
      </c>
      <c r="G105" s="91" t="s">
        <v>1128</v>
      </c>
      <c r="H105" s="91" t="s">
        <v>919</v>
      </c>
      <c r="I105" s="91" t="s">
        <v>920</v>
      </c>
      <c r="J105" s="81"/>
      <c r="K105" s="92" t="s">
        <v>921</v>
      </c>
      <c r="L105" s="84" t="s">
        <v>18</v>
      </c>
      <c r="M105" s="95" t="s">
        <v>73</v>
      </c>
      <c r="N105" s="84" t="s">
        <v>389</v>
      </c>
      <c r="P105" s="91" t="s">
        <v>16</v>
      </c>
      <c r="Q105" s="91" t="s">
        <v>876</v>
      </c>
      <c r="R105" s="91" t="s">
        <v>922</v>
      </c>
      <c r="S105" s="91"/>
      <c r="T105" s="91" t="s">
        <v>923</v>
      </c>
      <c r="U105" s="91" t="s">
        <v>924</v>
      </c>
      <c r="V105" s="91">
        <v>44.13</v>
      </c>
      <c r="W105" s="91">
        <v>-90.18</v>
      </c>
      <c r="X105" s="81"/>
      <c r="Y105" s="66" t="s">
        <v>1897</v>
      </c>
      <c r="Z105" s="66" t="s">
        <v>2203</v>
      </c>
      <c r="AA105" s="109" t="s">
        <v>97</v>
      </c>
      <c r="AB105" s="84" t="s">
        <v>103</v>
      </c>
      <c r="AC105" s="81" t="s">
        <v>137</v>
      </c>
      <c r="AF105" s="112" t="s">
        <v>64</v>
      </c>
      <c r="AG105" s="112" t="s">
        <v>92</v>
      </c>
      <c r="AH105" s="112" t="s">
        <v>106</v>
      </c>
      <c r="AI105" s="84" t="s">
        <v>93</v>
      </c>
      <c r="AJ105" s="114">
        <v>3</v>
      </c>
      <c r="AK105" s="114">
        <v>1</v>
      </c>
      <c r="AL105" s="114">
        <v>1</v>
      </c>
      <c r="AM105" s="174" t="s">
        <v>64</v>
      </c>
      <c r="AN105" s="84" t="s">
        <v>521</v>
      </c>
      <c r="AO105" s="84" t="s">
        <v>526</v>
      </c>
      <c r="AP105" s="68" t="s">
        <v>2227</v>
      </c>
      <c r="AQ105" s="84" t="s">
        <v>95</v>
      </c>
      <c r="AR105" s="86">
        <v>1</v>
      </c>
      <c r="AS105" s="86">
        <v>1</v>
      </c>
      <c r="AT105" s="86"/>
      <c r="AU105" s="90"/>
      <c r="AV105" s="88">
        <v>1</v>
      </c>
      <c r="AW105" s="84" t="s">
        <v>1622</v>
      </c>
      <c r="AX105" s="91" t="s">
        <v>80</v>
      </c>
      <c r="AY105" s="86">
        <v>3</v>
      </c>
      <c r="AZ105" s="119">
        <v>1</v>
      </c>
      <c r="BA105" s="86">
        <v>1</v>
      </c>
      <c r="BB105" s="86"/>
      <c r="BD105" s="113" t="s">
        <v>124</v>
      </c>
      <c r="BE105" s="112" t="s">
        <v>182</v>
      </c>
      <c r="BF105" s="93" t="s">
        <v>386</v>
      </c>
      <c r="BG105" s="112" t="s">
        <v>21</v>
      </c>
      <c r="BH105" s="112" t="s">
        <v>81</v>
      </c>
      <c r="BI105" s="84" t="s">
        <v>925</v>
      </c>
      <c r="BJ105" s="89">
        <f t="shared" si="95"/>
        <v>0.16666666666666666</v>
      </c>
      <c r="BK105" s="84">
        <v>2</v>
      </c>
      <c r="BL105" s="84">
        <v>2</v>
      </c>
      <c r="BM105" s="88">
        <v>0.16666666666666666</v>
      </c>
      <c r="BN105" s="84" t="s">
        <v>379</v>
      </c>
      <c r="BO105" s="84" t="s">
        <v>926</v>
      </c>
      <c r="BP105" s="84" t="s">
        <v>64</v>
      </c>
      <c r="BR105" s="81" t="s">
        <v>928</v>
      </c>
      <c r="BS105" s="81" t="s">
        <v>2125</v>
      </c>
      <c r="BU105" s="86"/>
      <c r="BV105" s="86"/>
      <c r="BW105" s="90"/>
      <c r="BX105" s="86"/>
      <c r="BY105" s="86"/>
      <c r="CC105" s="86"/>
      <c r="CD105" s="86"/>
      <c r="CE105" s="102"/>
      <c r="CF105" s="86"/>
      <c r="CG105" s="86"/>
      <c r="CK105" s="86"/>
      <c r="CL105" s="86"/>
      <c r="CM105" s="86"/>
      <c r="CN105" s="86"/>
      <c r="CO105" s="86"/>
      <c r="CR105" s="84" t="s">
        <v>1256</v>
      </c>
      <c r="CS105" s="86">
        <v>0.67</v>
      </c>
      <c r="CT105" s="86">
        <v>0.01</v>
      </c>
      <c r="CU105" s="86">
        <v>1.7320508075688773E-2</v>
      </c>
      <c r="CV105" s="86">
        <v>3</v>
      </c>
      <c r="CW105" s="86">
        <v>3</v>
      </c>
      <c r="CX105" s="84" t="s">
        <v>351</v>
      </c>
      <c r="CY105" s="84" t="s">
        <v>927</v>
      </c>
      <c r="CZ105" s="84" t="s">
        <v>80</v>
      </c>
      <c r="DA105" s="82">
        <v>0.5</v>
      </c>
      <c r="DB105" s="82">
        <v>0.1</v>
      </c>
      <c r="DC105" s="82">
        <v>0.17320508075688773</v>
      </c>
      <c r="DD105" s="82">
        <v>3</v>
      </c>
      <c r="DE105" s="82">
        <v>3</v>
      </c>
      <c r="DF105" s="84" t="s">
        <v>351</v>
      </c>
      <c r="DG105" s="84" t="s">
        <v>927</v>
      </c>
      <c r="DH105" s="84" t="s">
        <v>1256</v>
      </c>
      <c r="DI105" s="82">
        <v>0.67</v>
      </c>
      <c r="DJ105" s="82">
        <v>0.05</v>
      </c>
      <c r="DK105" s="82">
        <v>8.6602540378443865E-2</v>
      </c>
      <c r="DL105" s="82">
        <v>3</v>
      </c>
      <c r="DM105" s="82">
        <v>3</v>
      </c>
      <c r="DN105" s="82" t="s">
        <v>351</v>
      </c>
      <c r="DO105" s="84" t="s">
        <v>927</v>
      </c>
      <c r="DP105" s="84" t="s">
        <v>80</v>
      </c>
      <c r="DQ105" s="82">
        <v>0.64</v>
      </c>
      <c r="DR105" s="82">
        <v>0.05</v>
      </c>
      <c r="DS105" s="82">
        <v>8.6602540378443865E-2</v>
      </c>
      <c r="DT105" s="82">
        <v>3</v>
      </c>
      <c r="DU105" s="82">
        <v>3</v>
      </c>
      <c r="DV105" s="84" t="s">
        <v>351</v>
      </c>
      <c r="DW105" s="84" t="s">
        <v>927</v>
      </c>
      <c r="DX105" s="84" t="s">
        <v>1747</v>
      </c>
      <c r="DY105" s="86">
        <f t="shared" si="113"/>
        <v>0</v>
      </c>
      <c r="DZ105" s="86"/>
      <c r="EA105" s="86">
        <f t="shared" si="114"/>
        <v>8.8317608663278466E-2</v>
      </c>
      <c r="EB105" s="86">
        <v>3</v>
      </c>
      <c r="EC105" s="86">
        <v>3</v>
      </c>
      <c r="ED105" s="84" t="s">
        <v>1743</v>
      </c>
      <c r="EE105" s="84" t="s">
        <v>1744</v>
      </c>
      <c r="EF105" s="84" t="s">
        <v>1746</v>
      </c>
      <c r="EG105" s="86">
        <f t="shared" si="115"/>
        <v>0.14000000000000001</v>
      </c>
      <c r="EH105" s="86"/>
      <c r="EI105" s="86">
        <f t="shared" si="116"/>
        <v>0.19364916731037085</v>
      </c>
      <c r="EJ105" s="86">
        <v>3</v>
      </c>
      <c r="EK105" s="86">
        <v>3</v>
      </c>
      <c r="EL105" s="84" t="s">
        <v>1743</v>
      </c>
      <c r="EM105" s="84" t="s">
        <v>1745</v>
      </c>
      <c r="EN105" s="86">
        <f t="shared" si="117"/>
        <v>0</v>
      </c>
      <c r="EO105" s="86">
        <f t="shared" si="118"/>
        <v>8.8317608663278466E-2</v>
      </c>
      <c r="EP105" s="86">
        <f t="shared" si="119"/>
        <v>3</v>
      </c>
      <c r="EQ105" s="86">
        <f t="shared" si="120"/>
        <v>3</v>
      </c>
      <c r="ER105" s="86">
        <f t="shared" si="121"/>
        <v>0.14000000000000001</v>
      </c>
      <c r="ES105" s="86">
        <f t="shared" si="122"/>
        <v>0.19364916731037085</v>
      </c>
      <c r="ET105" s="86">
        <f t="shared" si="123"/>
        <v>3</v>
      </c>
      <c r="EU105" s="86">
        <f t="shared" si="124"/>
        <v>3</v>
      </c>
      <c r="EV105" s="86">
        <f t="shared" si="106"/>
        <v>0.15049916943292413</v>
      </c>
      <c r="EW105" s="86">
        <f t="shared" si="107"/>
        <v>-0.93023769185913363</v>
      </c>
      <c r="EX105" s="86">
        <f t="shared" si="108"/>
        <v>0.73877851361295066</v>
      </c>
      <c r="EY105" s="86">
        <f t="shared" si="109"/>
        <v>0.8</v>
      </c>
      <c r="EZ105" s="83">
        <f t="shared" si="110"/>
        <v>-0.74419015348730699</v>
      </c>
      <c r="FA105" s="83">
        <f t="shared" si="111"/>
        <v>0.4728182487122885</v>
      </c>
      <c r="FB105" s="83">
        <f t="shared" si="112"/>
        <v>6</v>
      </c>
      <c r="FC105" s="84" t="s">
        <v>385</v>
      </c>
    </row>
    <row r="106" spans="1:159" s="84" customFormat="1" ht="17.100000000000001" customHeight="1">
      <c r="A106" s="78" t="s">
        <v>1808</v>
      </c>
      <c r="B106" s="91" t="s">
        <v>1915</v>
      </c>
      <c r="C106" s="80" t="str">
        <f t="shared" si="71"/>
        <v>King, R. 2000.  Effects of single burn events on degraded oak savanna. Ecological Restoration. 18 (4): 228-233.</v>
      </c>
      <c r="D106" s="81" t="s">
        <v>1477</v>
      </c>
      <c r="E106" s="81">
        <v>2000</v>
      </c>
      <c r="F106" s="91" t="s">
        <v>1532</v>
      </c>
      <c r="G106" s="91" t="s">
        <v>1128</v>
      </c>
      <c r="H106" s="91" t="s">
        <v>919</v>
      </c>
      <c r="I106" s="91" t="s">
        <v>920</v>
      </c>
      <c r="J106" s="81"/>
      <c r="K106" s="92" t="s">
        <v>921</v>
      </c>
      <c r="L106" s="84" t="s">
        <v>18</v>
      </c>
      <c r="M106" s="95" t="s">
        <v>73</v>
      </c>
      <c r="N106" s="84" t="s">
        <v>389</v>
      </c>
      <c r="P106" s="91" t="s">
        <v>16</v>
      </c>
      <c r="Q106" s="91" t="s">
        <v>876</v>
      </c>
      <c r="R106" s="91" t="s">
        <v>922</v>
      </c>
      <c r="S106" s="91"/>
      <c r="T106" s="91" t="s">
        <v>923</v>
      </c>
      <c r="U106" s="91" t="s">
        <v>924</v>
      </c>
      <c r="V106" s="91">
        <v>44.13</v>
      </c>
      <c r="W106" s="91">
        <v>-90.18</v>
      </c>
      <c r="X106" s="81"/>
      <c r="Y106" s="66" t="s">
        <v>1897</v>
      </c>
      <c r="Z106" s="66" t="s">
        <v>2203</v>
      </c>
      <c r="AA106" s="109" t="s">
        <v>97</v>
      </c>
      <c r="AB106" s="84" t="s">
        <v>103</v>
      </c>
      <c r="AC106" s="81" t="s">
        <v>137</v>
      </c>
      <c r="AF106" s="112" t="s">
        <v>64</v>
      </c>
      <c r="AG106" s="112" t="s">
        <v>92</v>
      </c>
      <c r="AH106" s="112" t="s">
        <v>106</v>
      </c>
      <c r="AI106" s="84" t="s">
        <v>93</v>
      </c>
      <c r="AJ106" s="114">
        <v>3</v>
      </c>
      <c r="AK106" s="114">
        <v>1</v>
      </c>
      <c r="AL106" s="114">
        <v>1</v>
      </c>
      <c r="AM106" s="174" t="s">
        <v>64</v>
      </c>
      <c r="AN106" s="84" t="s">
        <v>521</v>
      </c>
      <c r="AO106" s="84" t="s">
        <v>526</v>
      </c>
      <c r="AP106" s="68" t="s">
        <v>2227</v>
      </c>
      <c r="AQ106" s="84" t="s">
        <v>95</v>
      </c>
      <c r="AR106" s="86">
        <v>1</v>
      </c>
      <c r="AS106" s="86">
        <v>1</v>
      </c>
      <c r="AT106" s="86"/>
      <c r="AU106" s="90"/>
      <c r="AV106" s="88">
        <v>1</v>
      </c>
      <c r="AW106" s="84" t="s">
        <v>1622</v>
      </c>
      <c r="AX106" s="91" t="s">
        <v>80</v>
      </c>
      <c r="AY106" s="86">
        <v>3</v>
      </c>
      <c r="AZ106" s="119">
        <v>1</v>
      </c>
      <c r="BA106" s="86">
        <v>1</v>
      </c>
      <c r="BB106" s="86"/>
      <c r="BD106" s="113" t="s">
        <v>124</v>
      </c>
      <c r="BE106" s="112" t="s">
        <v>182</v>
      </c>
      <c r="BF106" s="93" t="s">
        <v>387</v>
      </c>
      <c r="BG106" s="112" t="s">
        <v>21</v>
      </c>
      <c r="BH106" s="112" t="s">
        <v>81</v>
      </c>
      <c r="BI106" s="84" t="s">
        <v>925</v>
      </c>
      <c r="BJ106" s="89">
        <f t="shared" si="95"/>
        <v>0.16666666666666666</v>
      </c>
      <c r="BK106" s="84">
        <v>2</v>
      </c>
      <c r="BL106" s="84">
        <v>2</v>
      </c>
      <c r="BM106" s="88">
        <v>0.16666666666666666</v>
      </c>
      <c r="BN106" s="84" t="s">
        <v>379</v>
      </c>
      <c r="BO106" s="84" t="s">
        <v>926</v>
      </c>
      <c r="BP106" s="84" t="s">
        <v>64</v>
      </c>
      <c r="BR106" s="122" t="s">
        <v>679</v>
      </c>
      <c r="BS106" s="122" t="s">
        <v>679</v>
      </c>
      <c r="BU106" s="86"/>
      <c r="BV106" s="86"/>
      <c r="BW106" s="101"/>
      <c r="BX106" s="86"/>
      <c r="BY106" s="86"/>
      <c r="CC106" s="86"/>
      <c r="CD106" s="86"/>
      <c r="CE106" s="102"/>
      <c r="CF106" s="86"/>
      <c r="CG106" s="86"/>
      <c r="CK106" s="86"/>
      <c r="CL106" s="86"/>
      <c r="CM106" s="86"/>
      <c r="CN106" s="86"/>
      <c r="CO106" s="86"/>
      <c r="CR106" s="84" t="s">
        <v>1256</v>
      </c>
      <c r="CS106" s="86">
        <v>0.27</v>
      </c>
      <c r="CT106" s="86">
        <v>0.1</v>
      </c>
      <c r="CU106" s="86">
        <v>0.17320508075688773</v>
      </c>
      <c r="CV106" s="86">
        <v>3</v>
      </c>
      <c r="CW106" s="86">
        <v>3</v>
      </c>
      <c r="CX106" s="84" t="s">
        <v>351</v>
      </c>
      <c r="CY106" s="84" t="s">
        <v>927</v>
      </c>
      <c r="CZ106" s="84" t="s">
        <v>80</v>
      </c>
      <c r="DA106" s="82">
        <v>0.28000000000000003</v>
      </c>
      <c r="DB106" s="82">
        <v>0.18</v>
      </c>
      <c r="DC106" s="82">
        <v>0.31176914536239786</v>
      </c>
      <c r="DD106" s="82">
        <v>3</v>
      </c>
      <c r="DE106" s="82">
        <v>3</v>
      </c>
      <c r="DF106" s="84" t="s">
        <v>351</v>
      </c>
      <c r="DG106" s="84" t="s">
        <v>927</v>
      </c>
      <c r="DH106" s="84" t="s">
        <v>1256</v>
      </c>
      <c r="DI106" s="82">
        <v>0.27</v>
      </c>
      <c r="DJ106" s="82">
        <v>0.06</v>
      </c>
      <c r="DK106" s="82">
        <v>0.10392304845413262</v>
      </c>
      <c r="DL106" s="82">
        <v>3</v>
      </c>
      <c r="DM106" s="82">
        <v>3</v>
      </c>
      <c r="DN106" s="82" t="s">
        <v>351</v>
      </c>
      <c r="DO106" s="84" t="s">
        <v>927</v>
      </c>
      <c r="DP106" s="84" t="s">
        <v>80</v>
      </c>
      <c r="DQ106" s="82">
        <v>0.46</v>
      </c>
      <c r="DR106" s="82">
        <v>7.0000000000000007E-2</v>
      </c>
      <c r="DS106" s="82">
        <v>0.12124355652982141</v>
      </c>
      <c r="DT106" s="82">
        <v>3</v>
      </c>
      <c r="DU106" s="82">
        <v>3</v>
      </c>
      <c r="DV106" s="84" t="s">
        <v>351</v>
      </c>
      <c r="DW106" s="84" t="s">
        <v>927</v>
      </c>
      <c r="DX106" s="84" t="s">
        <v>1747</v>
      </c>
      <c r="DY106" s="86">
        <f t="shared" si="113"/>
        <v>0</v>
      </c>
      <c r="DZ106" s="86"/>
      <c r="EA106" s="86">
        <f t="shared" si="114"/>
        <v>0.20199009876724155</v>
      </c>
      <c r="EB106" s="86">
        <v>3</v>
      </c>
      <c r="EC106" s="86">
        <v>3</v>
      </c>
      <c r="ED106" s="84" t="s">
        <v>1743</v>
      </c>
      <c r="EE106" s="84" t="s">
        <v>1744</v>
      </c>
      <c r="EF106" s="84" t="s">
        <v>1746</v>
      </c>
      <c r="EG106" s="86">
        <f t="shared" si="115"/>
        <v>0.18</v>
      </c>
      <c r="EH106" s="86"/>
      <c r="EI106" s="86">
        <f t="shared" si="116"/>
        <v>0.33451457367355458</v>
      </c>
      <c r="EJ106" s="86">
        <v>3</v>
      </c>
      <c r="EK106" s="86">
        <v>3</v>
      </c>
      <c r="EL106" s="84" t="s">
        <v>1743</v>
      </c>
      <c r="EM106" s="84" t="s">
        <v>1745</v>
      </c>
      <c r="EN106" s="86">
        <f t="shared" si="117"/>
        <v>0</v>
      </c>
      <c r="EO106" s="86">
        <f t="shared" si="118"/>
        <v>0.20199009876724155</v>
      </c>
      <c r="EP106" s="86">
        <f t="shared" si="119"/>
        <v>3</v>
      </c>
      <c r="EQ106" s="86">
        <f t="shared" si="120"/>
        <v>3</v>
      </c>
      <c r="ER106" s="86">
        <f t="shared" si="121"/>
        <v>0.18</v>
      </c>
      <c r="ES106" s="86">
        <f t="shared" si="122"/>
        <v>0.33451457367355458</v>
      </c>
      <c r="ET106" s="86">
        <f t="shared" si="123"/>
        <v>3</v>
      </c>
      <c r="EU106" s="86">
        <f t="shared" si="124"/>
        <v>3</v>
      </c>
      <c r="EV106" s="86">
        <f t="shared" si="106"/>
        <v>0.276315037592962</v>
      </c>
      <c r="EW106" s="86">
        <f t="shared" si="107"/>
        <v>-0.65143034403055866</v>
      </c>
      <c r="EX106" s="86">
        <f t="shared" si="108"/>
        <v>0.70203012442698098</v>
      </c>
      <c r="EY106" s="86">
        <f t="shared" si="109"/>
        <v>0.8</v>
      </c>
      <c r="EZ106" s="83">
        <f t="shared" si="110"/>
        <v>-0.52114427522444695</v>
      </c>
      <c r="FA106" s="83">
        <f t="shared" si="111"/>
        <v>0.44929927963326793</v>
      </c>
      <c r="FB106" s="83">
        <f t="shared" si="112"/>
        <v>6</v>
      </c>
      <c r="FC106" s="84" t="s">
        <v>385</v>
      </c>
    </row>
    <row r="107" spans="1:159" s="84" customFormat="1" ht="17.100000000000001" customHeight="1">
      <c r="A107" s="78" t="s">
        <v>1808</v>
      </c>
      <c r="B107" s="91" t="s">
        <v>1915</v>
      </c>
      <c r="C107" s="80" t="str">
        <f t="shared" si="71"/>
        <v>King, R. 2000.  Effects of single burn events on degraded oak savanna. Ecological Restoration. 18 (4): 228-233.</v>
      </c>
      <c r="D107" s="81" t="s">
        <v>1477</v>
      </c>
      <c r="E107" s="81">
        <v>2000</v>
      </c>
      <c r="F107" s="91" t="s">
        <v>1532</v>
      </c>
      <c r="G107" s="91" t="s">
        <v>1128</v>
      </c>
      <c r="H107" s="91" t="s">
        <v>919</v>
      </c>
      <c r="I107" s="91" t="s">
        <v>920</v>
      </c>
      <c r="J107" s="81"/>
      <c r="K107" s="92" t="s">
        <v>921</v>
      </c>
      <c r="L107" s="84" t="s">
        <v>18</v>
      </c>
      <c r="M107" s="95" t="s">
        <v>73</v>
      </c>
      <c r="N107" s="84" t="s">
        <v>389</v>
      </c>
      <c r="P107" s="91" t="s">
        <v>16</v>
      </c>
      <c r="Q107" s="91" t="s">
        <v>876</v>
      </c>
      <c r="R107" s="91" t="s">
        <v>922</v>
      </c>
      <c r="S107" s="91"/>
      <c r="T107" s="91" t="s">
        <v>923</v>
      </c>
      <c r="U107" s="91" t="s">
        <v>924</v>
      </c>
      <c r="V107" s="91">
        <v>44.13</v>
      </c>
      <c r="W107" s="91">
        <v>-90.18</v>
      </c>
      <c r="X107" s="81"/>
      <c r="Y107" s="66" t="s">
        <v>1897</v>
      </c>
      <c r="Z107" s="66" t="s">
        <v>2203</v>
      </c>
      <c r="AA107" s="109" t="s">
        <v>97</v>
      </c>
      <c r="AB107" s="84" t="s">
        <v>103</v>
      </c>
      <c r="AC107" s="81" t="s">
        <v>137</v>
      </c>
      <c r="AF107" s="112" t="s">
        <v>64</v>
      </c>
      <c r="AG107" s="112" t="s">
        <v>92</v>
      </c>
      <c r="AH107" s="112" t="s">
        <v>106</v>
      </c>
      <c r="AI107" s="84" t="s">
        <v>93</v>
      </c>
      <c r="AJ107" s="114">
        <v>3</v>
      </c>
      <c r="AK107" s="114">
        <v>1</v>
      </c>
      <c r="AL107" s="114">
        <v>1</v>
      </c>
      <c r="AM107" s="174" t="s">
        <v>64</v>
      </c>
      <c r="AN107" s="84" t="s">
        <v>521</v>
      </c>
      <c r="AO107" s="84" t="s">
        <v>526</v>
      </c>
      <c r="AP107" s="68" t="s">
        <v>2227</v>
      </c>
      <c r="AQ107" s="84" t="s">
        <v>95</v>
      </c>
      <c r="AR107" s="86">
        <v>1</v>
      </c>
      <c r="AS107" s="86">
        <v>1</v>
      </c>
      <c r="AT107" s="86"/>
      <c r="AU107" s="90"/>
      <c r="AV107" s="88">
        <v>1</v>
      </c>
      <c r="AW107" s="84" t="s">
        <v>1622</v>
      </c>
      <c r="AX107" s="91" t="s">
        <v>80</v>
      </c>
      <c r="AY107" s="86">
        <v>3</v>
      </c>
      <c r="AZ107" s="119">
        <v>1</v>
      </c>
      <c r="BA107" s="86">
        <v>1</v>
      </c>
      <c r="BB107" s="86"/>
      <c r="BD107" s="113" t="s">
        <v>124</v>
      </c>
      <c r="BE107" s="112" t="s">
        <v>182</v>
      </c>
      <c r="BF107" s="93" t="s">
        <v>112</v>
      </c>
      <c r="BG107" s="112" t="s">
        <v>21</v>
      </c>
      <c r="BH107" s="112" t="s">
        <v>81</v>
      </c>
      <c r="BI107" s="84" t="s">
        <v>925</v>
      </c>
      <c r="BJ107" s="89">
        <f t="shared" si="95"/>
        <v>0.16666666666666666</v>
      </c>
      <c r="BK107" s="84">
        <v>2</v>
      </c>
      <c r="BL107" s="84">
        <v>2</v>
      </c>
      <c r="BM107" s="88">
        <v>0.16666666666666666</v>
      </c>
      <c r="BN107" s="84" t="s">
        <v>379</v>
      </c>
      <c r="BO107" s="84" t="s">
        <v>926</v>
      </c>
      <c r="BP107" s="84" t="s">
        <v>64</v>
      </c>
      <c r="BR107" s="81" t="s">
        <v>1765</v>
      </c>
      <c r="BS107" s="81" t="s">
        <v>2175</v>
      </c>
      <c r="BU107" s="86"/>
      <c r="BV107" s="86"/>
      <c r="BW107" s="101"/>
      <c r="BX107" s="86"/>
      <c r="BY107" s="86"/>
      <c r="CC107" s="86"/>
      <c r="CD107" s="86"/>
      <c r="CE107" s="90"/>
      <c r="CF107" s="86"/>
      <c r="CG107" s="86"/>
      <c r="CK107" s="86"/>
      <c r="CL107" s="86"/>
      <c r="CM107" s="86"/>
      <c r="CN107" s="86"/>
      <c r="CO107" s="86"/>
      <c r="CR107" s="84" t="s">
        <v>1256</v>
      </c>
      <c r="CS107" s="86">
        <v>0.2</v>
      </c>
      <c r="CT107" s="86">
        <v>0.1</v>
      </c>
      <c r="CU107" s="86">
        <v>0.17320508075688773</v>
      </c>
      <c r="CV107" s="86">
        <v>3</v>
      </c>
      <c r="CW107" s="86">
        <v>3</v>
      </c>
      <c r="CX107" s="84" t="s">
        <v>351</v>
      </c>
      <c r="CY107" s="84" t="s">
        <v>927</v>
      </c>
      <c r="CZ107" s="84" t="s">
        <v>80</v>
      </c>
      <c r="DA107" s="82">
        <v>0.34</v>
      </c>
      <c r="DB107" s="82">
        <v>0.05</v>
      </c>
      <c r="DC107" s="82">
        <v>8.6602540378443865E-2</v>
      </c>
      <c r="DD107" s="82">
        <v>3</v>
      </c>
      <c r="DE107" s="82">
        <v>3</v>
      </c>
      <c r="DF107" s="84" t="s">
        <v>351</v>
      </c>
      <c r="DG107" s="84" t="s">
        <v>927</v>
      </c>
      <c r="DH107" s="84" t="s">
        <v>1256</v>
      </c>
      <c r="DI107" s="82">
        <v>0.62</v>
      </c>
      <c r="DJ107" s="82">
        <v>0.12</v>
      </c>
      <c r="DK107" s="82">
        <v>0.20784609690826525</v>
      </c>
      <c r="DL107" s="82">
        <v>3</v>
      </c>
      <c r="DM107" s="82">
        <v>3</v>
      </c>
      <c r="DN107" s="84" t="s">
        <v>351</v>
      </c>
      <c r="DO107" s="84" t="s">
        <v>927</v>
      </c>
      <c r="DP107" s="84" t="s">
        <v>80</v>
      </c>
      <c r="DQ107" s="82">
        <v>0.37</v>
      </c>
      <c r="DR107" s="82">
        <v>0.05</v>
      </c>
      <c r="DS107" s="82">
        <v>8.6602540378443865E-2</v>
      </c>
      <c r="DT107" s="82">
        <v>3</v>
      </c>
      <c r="DU107" s="82">
        <v>3</v>
      </c>
      <c r="DV107" s="84" t="s">
        <v>351</v>
      </c>
      <c r="DW107" s="84" t="s">
        <v>927</v>
      </c>
      <c r="DX107" s="84" t="s">
        <v>1747</v>
      </c>
      <c r="DY107" s="86">
        <f t="shared" si="113"/>
        <v>0.42</v>
      </c>
      <c r="DZ107" s="86"/>
      <c r="EA107" s="86">
        <f t="shared" si="114"/>
        <v>0.27055498516937365</v>
      </c>
      <c r="EB107" s="86">
        <v>3</v>
      </c>
      <c r="EC107" s="86">
        <v>3</v>
      </c>
      <c r="ED107" s="84" t="s">
        <v>1743</v>
      </c>
      <c r="EE107" s="84" t="s">
        <v>1744</v>
      </c>
      <c r="EF107" s="84" t="s">
        <v>1746</v>
      </c>
      <c r="EG107" s="86">
        <f t="shared" si="115"/>
        <v>2.9999999999999971E-2</v>
      </c>
      <c r="EH107" s="86"/>
      <c r="EI107" s="86">
        <f t="shared" si="116"/>
        <v>0.1224744871391589</v>
      </c>
      <c r="EJ107" s="86">
        <v>3</v>
      </c>
      <c r="EK107" s="86">
        <v>3</v>
      </c>
      <c r="EL107" s="84" t="s">
        <v>1743</v>
      </c>
      <c r="EM107" s="84" t="s">
        <v>1745</v>
      </c>
      <c r="EN107" s="86">
        <f t="shared" si="117"/>
        <v>0.42</v>
      </c>
      <c r="EO107" s="86">
        <f t="shared" si="118"/>
        <v>0.27055498516937365</v>
      </c>
      <c r="EP107" s="86">
        <f t="shared" si="119"/>
        <v>3</v>
      </c>
      <c r="EQ107" s="86">
        <f t="shared" si="120"/>
        <v>3</v>
      </c>
      <c r="ER107" s="86">
        <f t="shared" si="121"/>
        <v>2.9999999999999971E-2</v>
      </c>
      <c r="ES107" s="86">
        <f t="shared" si="122"/>
        <v>0.1224744871391589</v>
      </c>
      <c r="ET107" s="86">
        <f t="shared" si="123"/>
        <v>3</v>
      </c>
      <c r="EU107" s="86">
        <f t="shared" si="124"/>
        <v>3</v>
      </c>
      <c r="EV107" s="86">
        <f t="shared" si="106"/>
        <v>0.21</v>
      </c>
      <c r="EW107" s="86">
        <f t="shared" si="107"/>
        <v>1.8571428571428572</v>
      </c>
      <c r="EX107" s="86">
        <f t="shared" si="108"/>
        <v>0.95408163265306123</v>
      </c>
      <c r="EY107" s="86">
        <f t="shared" si="109"/>
        <v>0.8</v>
      </c>
      <c r="EZ107" s="83">
        <f t="shared" si="110"/>
        <v>1.4857142857142858</v>
      </c>
      <c r="FA107" s="83">
        <f t="shared" si="111"/>
        <v>0.61061224489795929</v>
      </c>
      <c r="FB107" s="83">
        <f t="shared" si="112"/>
        <v>6</v>
      </c>
      <c r="FC107" s="84" t="s">
        <v>385</v>
      </c>
    </row>
    <row r="108" spans="1:159" s="84" customFormat="1" ht="17.100000000000001" customHeight="1">
      <c r="A108" s="78" t="s">
        <v>1808</v>
      </c>
      <c r="B108" s="91" t="s">
        <v>1916</v>
      </c>
      <c r="C108" s="80" t="str">
        <f t="shared" si="71"/>
        <v>King, R. 2000.  Effects of single burn events on degraded oak savanna. Ecological Restoration. 18 (4): 228-233.</v>
      </c>
      <c r="D108" s="81" t="s">
        <v>1477</v>
      </c>
      <c r="E108" s="81">
        <v>2000</v>
      </c>
      <c r="F108" s="91" t="s">
        <v>1532</v>
      </c>
      <c r="G108" s="91" t="s">
        <v>1128</v>
      </c>
      <c r="H108" s="91" t="s">
        <v>919</v>
      </c>
      <c r="I108" s="91" t="s">
        <v>920</v>
      </c>
      <c r="J108" s="81"/>
      <c r="K108" s="92" t="s">
        <v>921</v>
      </c>
      <c r="L108" s="84" t="s">
        <v>18</v>
      </c>
      <c r="M108" s="95" t="s">
        <v>73</v>
      </c>
      <c r="N108" s="84" t="s">
        <v>389</v>
      </c>
      <c r="P108" s="91" t="s">
        <v>16</v>
      </c>
      <c r="Q108" s="91" t="s">
        <v>876</v>
      </c>
      <c r="R108" s="91" t="s">
        <v>922</v>
      </c>
      <c r="S108" s="91"/>
      <c r="T108" s="91" t="s">
        <v>923</v>
      </c>
      <c r="U108" s="91" t="s">
        <v>924</v>
      </c>
      <c r="V108" s="91">
        <v>44.13</v>
      </c>
      <c r="W108" s="91">
        <v>-90.18</v>
      </c>
      <c r="X108" s="81"/>
      <c r="Y108" s="66" t="s">
        <v>1897</v>
      </c>
      <c r="Z108" s="66" t="s">
        <v>2203</v>
      </c>
      <c r="AA108" s="109" t="s">
        <v>97</v>
      </c>
      <c r="AB108" s="84" t="s">
        <v>103</v>
      </c>
      <c r="AC108" s="81" t="s">
        <v>137</v>
      </c>
      <c r="AF108" s="112" t="s">
        <v>64</v>
      </c>
      <c r="AG108" s="112" t="s">
        <v>92</v>
      </c>
      <c r="AH108" s="112" t="s">
        <v>106</v>
      </c>
      <c r="AI108" s="84" t="s">
        <v>93</v>
      </c>
      <c r="AJ108" s="114">
        <v>3</v>
      </c>
      <c r="AK108" s="114">
        <v>1</v>
      </c>
      <c r="AL108" s="114">
        <v>1</v>
      </c>
      <c r="AM108" s="174" t="s">
        <v>64</v>
      </c>
      <c r="AN108" s="84" t="s">
        <v>929</v>
      </c>
      <c r="AO108" s="84" t="s">
        <v>524</v>
      </c>
      <c r="AP108" s="68" t="s">
        <v>2228</v>
      </c>
      <c r="AQ108" s="84" t="s">
        <v>94</v>
      </c>
      <c r="AR108" s="86">
        <v>1</v>
      </c>
      <c r="AS108" s="86">
        <v>1</v>
      </c>
      <c r="AT108" s="86"/>
      <c r="AU108" s="90"/>
      <c r="AV108" s="88">
        <v>1</v>
      </c>
      <c r="AX108" s="91" t="s">
        <v>80</v>
      </c>
      <c r="AY108" s="86">
        <v>3</v>
      </c>
      <c r="AZ108" s="119">
        <v>1</v>
      </c>
      <c r="BA108" s="86">
        <v>1</v>
      </c>
      <c r="BB108" s="86"/>
      <c r="BD108" s="113" t="s">
        <v>124</v>
      </c>
      <c r="BE108" s="112" t="s">
        <v>182</v>
      </c>
      <c r="BF108" s="93" t="s">
        <v>111</v>
      </c>
      <c r="BG108" s="112" t="s">
        <v>21</v>
      </c>
      <c r="BH108" s="112" t="s">
        <v>81</v>
      </c>
      <c r="BI108" s="84" t="s">
        <v>925</v>
      </c>
      <c r="BJ108" s="89">
        <f t="shared" si="95"/>
        <v>0.66666666666666663</v>
      </c>
      <c r="BK108" s="84">
        <v>8</v>
      </c>
      <c r="BL108" s="84">
        <v>8</v>
      </c>
      <c r="BM108" s="88">
        <v>0.66666666666666663</v>
      </c>
      <c r="BN108" s="84" t="s">
        <v>379</v>
      </c>
      <c r="BO108" s="84" t="s">
        <v>926</v>
      </c>
      <c r="BP108" s="84" t="s">
        <v>64</v>
      </c>
      <c r="BR108" s="81" t="s">
        <v>69</v>
      </c>
      <c r="BS108" s="81" t="s">
        <v>894</v>
      </c>
      <c r="BU108" s="86"/>
      <c r="BV108" s="86"/>
      <c r="BW108" s="101"/>
      <c r="BX108" s="86"/>
      <c r="BY108" s="86"/>
      <c r="CC108" s="86"/>
      <c r="CD108" s="86"/>
      <c r="CE108" s="90"/>
      <c r="CF108" s="86"/>
      <c r="CG108" s="86"/>
      <c r="CK108" s="86"/>
      <c r="CL108" s="86"/>
      <c r="CM108" s="86"/>
      <c r="CN108" s="86"/>
      <c r="CO108" s="86"/>
      <c r="CR108" s="84" t="s">
        <v>1253</v>
      </c>
      <c r="CS108" s="86">
        <v>2.09</v>
      </c>
      <c r="CT108" s="86">
        <v>0.08</v>
      </c>
      <c r="CU108" s="86">
        <v>0.13856406460551018</v>
      </c>
      <c r="CV108" s="86">
        <v>3</v>
      </c>
      <c r="CW108" s="86">
        <v>3</v>
      </c>
      <c r="CX108" s="84" t="s">
        <v>351</v>
      </c>
      <c r="CY108" s="84" t="s">
        <v>927</v>
      </c>
      <c r="CZ108" s="84" t="s">
        <v>80</v>
      </c>
      <c r="DA108" s="82">
        <v>1.69</v>
      </c>
      <c r="DB108" s="82">
        <v>0.01</v>
      </c>
      <c r="DC108" s="82">
        <v>1.7320508075688773E-2</v>
      </c>
      <c r="DD108" s="82">
        <v>3</v>
      </c>
      <c r="DE108" s="82">
        <v>3</v>
      </c>
      <c r="DF108" s="84" t="s">
        <v>351</v>
      </c>
      <c r="DG108" s="84" t="s">
        <v>927</v>
      </c>
      <c r="DH108" s="84" t="s">
        <v>1253</v>
      </c>
      <c r="DI108" s="82">
        <v>1.62</v>
      </c>
      <c r="DJ108" s="82">
        <v>0.13</v>
      </c>
      <c r="DK108" s="82">
        <v>0.22516660498395405</v>
      </c>
      <c r="DL108" s="82">
        <v>3</v>
      </c>
      <c r="DM108" s="82">
        <v>3</v>
      </c>
      <c r="DN108" s="84" t="s">
        <v>351</v>
      </c>
      <c r="DO108" s="84" t="s">
        <v>927</v>
      </c>
      <c r="DP108" s="84" t="s">
        <v>80</v>
      </c>
      <c r="DQ108" s="82">
        <v>1.42</v>
      </c>
      <c r="DR108" s="82">
        <v>0.1</v>
      </c>
      <c r="DS108" s="82">
        <v>0.17320508075688773</v>
      </c>
      <c r="DT108" s="82">
        <v>3</v>
      </c>
      <c r="DU108" s="82">
        <v>3</v>
      </c>
      <c r="DV108" s="84" t="s">
        <v>351</v>
      </c>
      <c r="DW108" s="84" t="s">
        <v>927</v>
      </c>
      <c r="DX108" s="84" t="s">
        <v>1747</v>
      </c>
      <c r="DY108" s="86">
        <f t="shared" si="113"/>
        <v>-0.46999999999999975</v>
      </c>
      <c r="DZ108" s="86"/>
      <c r="EA108" s="86">
        <f t="shared" si="114"/>
        <v>0.2643860813280457</v>
      </c>
      <c r="EB108" s="86">
        <v>3</v>
      </c>
      <c r="EC108" s="86">
        <v>3</v>
      </c>
      <c r="ED108" s="84" t="s">
        <v>1743</v>
      </c>
      <c r="EE108" s="84" t="s">
        <v>1744</v>
      </c>
      <c r="EF108" s="84" t="s">
        <v>1746</v>
      </c>
      <c r="EG108" s="86">
        <f t="shared" si="115"/>
        <v>-0.27</v>
      </c>
      <c r="EH108" s="86"/>
      <c r="EI108" s="86">
        <f t="shared" si="116"/>
        <v>0.17406895185529211</v>
      </c>
      <c r="EJ108" s="86">
        <v>3</v>
      </c>
      <c r="EK108" s="86">
        <v>3</v>
      </c>
      <c r="EL108" s="84" t="s">
        <v>1743</v>
      </c>
      <c r="EM108" s="84" t="s">
        <v>1745</v>
      </c>
      <c r="EN108" s="86">
        <f t="shared" si="117"/>
        <v>-0.46999999999999975</v>
      </c>
      <c r="EO108" s="86">
        <f t="shared" si="118"/>
        <v>0.2643860813280457</v>
      </c>
      <c r="EP108" s="86">
        <f t="shared" si="119"/>
        <v>3</v>
      </c>
      <c r="EQ108" s="86">
        <f t="shared" si="120"/>
        <v>3</v>
      </c>
      <c r="ER108" s="86">
        <f t="shared" si="121"/>
        <v>-0.27</v>
      </c>
      <c r="ES108" s="86">
        <f t="shared" si="122"/>
        <v>0.17406895185529211</v>
      </c>
      <c r="ET108" s="86">
        <f t="shared" si="123"/>
        <v>3</v>
      </c>
      <c r="EU108" s="86">
        <f t="shared" si="124"/>
        <v>3</v>
      </c>
      <c r="EV108" s="86">
        <f t="shared" si="106"/>
        <v>0.2238302928559939</v>
      </c>
      <c r="EW108" s="86">
        <f t="shared" si="107"/>
        <v>-0.89353410321753945</v>
      </c>
      <c r="EX108" s="86">
        <f t="shared" si="108"/>
        <v>0.7332002661343977</v>
      </c>
      <c r="EY108" s="86">
        <f t="shared" si="109"/>
        <v>0.8</v>
      </c>
      <c r="EZ108" s="83">
        <f t="shared" si="110"/>
        <v>-0.71482728257403161</v>
      </c>
      <c r="FA108" s="83">
        <f t="shared" si="111"/>
        <v>0.46924817032601462</v>
      </c>
      <c r="FB108" s="83">
        <f t="shared" si="112"/>
        <v>6</v>
      </c>
      <c r="FC108" s="84" t="s">
        <v>385</v>
      </c>
    </row>
    <row r="109" spans="1:159" s="84" customFormat="1" ht="17.100000000000001" customHeight="1">
      <c r="A109" s="78" t="s">
        <v>1808</v>
      </c>
      <c r="B109" s="91" t="s">
        <v>1916</v>
      </c>
      <c r="C109" s="80" t="str">
        <f t="shared" si="71"/>
        <v>King, R. 2000.  Effects of single burn events on degraded oak savanna. Ecological Restoration. 18 (4): 228-233.</v>
      </c>
      <c r="D109" s="81" t="s">
        <v>1477</v>
      </c>
      <c r="E109" s="81">
        <v>2000</v>
      </c>
      <c r="F109" s="91" t="s">
        <v>1532</v>
      </c>
      <c r="G109" s="91" t="s">
        <v>1128</v>
      </c>
      <c r="H109" s="91" t="s">
        <v>919</v>
      </c>
      <c r="I109" s="91" t="s">
        <v>920</v>
      </c>
      <c r="J109" s="81"/>
      <c r="K109" s="92" t="s">
        <v>921</v>
      </c>
      <c r="L109" s="84" t="s">
        <v>18</v>
      </c>
      <c r="M109" s="95" t="s">
        <v>73</v>
      </c>
      <c r="N109" s="84" t="s">
        <v>389</v>
      </c>
      <c r="P109" s="91" t="s">
        <v>16</v>
      </c>
      <c r="Q109" s="91" t="s">
        <v>876</v>
      </c>
      <c r="R109" s="91" t="s">
        <v>922</v>
      </c>
      <c r="S109" s="91"/>
      <c r="T109" s="91" t="s">
        <v>923</v>
      </c>
      <c r="U109" s="91" t="s">
        <v>924</v>
      </c>
      <c r="V109" s="91">
        <v>44.13</v>
      </c>
      <c r="W109" s="91">
        <v>-90.18</v>
      </c>
      <c r="X109" s="81"/>
      <c r="Y109" s="66" t="s">
        <v>1897</v>
      </c>
      <c r="Z109" s="66" t="s">
        <v>2203</v>
      </c>
      <c r="AA109" s="109" t="s">
        <v>97</v>
      </c>
      <c r="AB109" s="84" t="s">
        <v>103</v>
      </c>
      <c r="AC109" s="81" t="s">
        <v>137</v>
      </c>
      <c r="AF109" s="112" t="s">
        <v>64</v>
      </c>
      <c r="AG109" s="112" t="s">
        <v>92</v>
      </c>
      <c r="AH109" s="112" t="s">
        <v>106</v>
      </c>
      <c r="AI109" s="84" t="s">
        <v>93</v>
      </c>
      <c r="AJ109" s="114">
        <v>3</v>
      </c>
      <c r="AK109" s="114">
        <v>1</v>
      </c>
      <c r="AL109" s="114">
        <v>1</v>
      </c>
      <c r="AM109" s="174" t="s">
        <v>64</v>
      </c>
      <c r="AN109" s="84" t="s">
        <v>929</v>
      </c>
      <c r="AO109" s="84" t="s">
        <v>524</v>
      </c>
      <c r="AP109" s="68" t="s">
        <v>2228</v>
      </c>
      <c r="AQ109" s="84" t="s">
        <v>94</v>
      </c>
      <c r="AR109" s="86">
        <v>1</v>
      </c>
      <c r="AS109" s="86">
        <v>1</v>
      </c>
      <c r="AT109" s="86"/>
      <c r="AU109" s="90"/>
      <c r="AV109" s="88">
        <v>1</v>
      </c>
      <c r="AX109" s="91" t="s">
        <v>80</v>
      </c>
      <c r="AY109" s="86">
        <v>3</v>
      </c>
      <c r="AZ109" s="119">
        <v>1</v>
      </c>
      <c r="BA109" s="86">
        <v>1</v>
      </c>
      <c r="BB109" s="86"/>
      <c r="BD109" s="113" t="s">
        <v>124</v>
      </c>
      <c r="BE109" s="112" t="s">
        <v>182</v>
      </c>
      <c r="BF109" s="93" t="s">
        <v>386</v>
      </c>
      <c r="BG109" s="112" t="s">
        <v>21</v>
      </c>
      <c r="BH109" s="112" t="s">
        <v>81</v>
      </c>
      <c r="BI109" s="84" t="s">
        <v>925</v>
      </c>
      <c r="BJ109" s="89">
        <f t="shared" si="95"/>
        <v>0.75</v>
      </c>
      <c r="BK109" s="84">
        <v>9</v>
      </c>
      <c r="BL109" s="84">
        <v>9</v>
      </c>
      <c r="BM109" s="88">
        <v>0.75</v>
      </c>
      <c r="BN109" s="84" t="s">
        <v>379</v>
      </c>
      <c r="BO109" s="84" t="s">
        <v>926</v>
      </c>
      <c r="BP109" s="84" t="s">
        <v>64</v>
      </c>
      <c r="BR109" s="122" t="s">
        <v>928</v>
      </c>
      <c r="BS109" s="122" t="s">
        <v>2125</v>
      </c>
      <c r="BU109" s="86"/>
      <c r="BV109" s="86"/>
      <c r="BW109" s="90"/>
      <c r="BX109" s="86"/>
      <c r="BY109" s="86"/>
      <c r="CC109" s="86"/>
      <c r="CD109" s="86"/>
      <c r="CE109" s="90"/>
      <c r="CF109" s="86"/>
      <c r="CG109" s="86"/>
      <c r="CK109" s="86"/>
      <c r="CL109" s="86"/>
      <c r="CM109" s="86"/>
      <c r="CN109" s="86"/>
      <c r="CO109" s="86"/>
      <c r="CR109" s="84" t="s">
        <v>1253</v>
      </c>
      <c r="CS109" s="86">
        <v>0.64</v>
      </c>
      <c r="CT109" s="86">
        <v>0.08</v>
      </c>
      <c r="CU109" s="86">
        <v>0.13856406460551018</v>
      </c>
      <c r="CV109" s="86">
        <v>3</v>
      </c>
      <c r="CW109" s="86">
        <v>3</v>
      </c>
      <c r="CX109" s="84" t="s">
        <v>351</v>
      </c>
      <c r="CY109" s="84" t="s">
        <v>927</v>
      </c>
      <c r="CZ109" s="84" t="s">
        <v>80</v>
      </c>
      <c r="DA109" s="82">
        <v>0.5</v>
      </c>
      <c r="DB109" s="82">
        <v>0.1</v>
      </c>
      <c r="DC109" s="82">
        <v>0.17320508075688773</v>
      </c>
      <c r="DD109" s="82">
        <v>3</v>
      </c>
      <c r="DE109" s="82">
        <v>3</v>
      </c>
      <c r="DF109" s="84" t="s">
        <v>351</v>
      </c>
      <c r="DG109" s="84" t="s">
        <v>927</v>
      </c>
      <c r="DH109" s="84" t="s">
        <v>1253</v>
      </c>
      <c r="DI109" s="82">
        <v>0.72</v>
      </c>
      <c r="DJ109" s="82">
        <v>0.11</v>
      </c>
      <c r="DK109" s="82">
        <v>0.1905255888325765</v>
      </c>
      <c r="DL109" s="82">
        <v>3</v>
      </c>
      <c r="DM109" s="82">
        <v>3</v>
      </c>
      <c r="DN109" s="84" t="s">
        <v>351</v>
      </c>
      <c r="DO109" s="84" t="s">
        <v>927</v>
      </c>
      <c r="DP109" s="84" t="s">
        <v>80</v>
      </c>
      <c r="DQ109" s="82">
        <v>0.64</v>
      </c>
      <c r="DR109" s="82">
        <v>0.05</v>
      </c>
      <c r="DS109" s="82">
        <v>8.6602540378443865E-2</v>
      </c>
      <c r="DT109" s="82">
        <v>3</v>
      </c>
      <c r="DU109" s="82">
        <v>3</v>
      </c>
      <c r="DV109" s="84" t="s">
        <v>351</v>
      </c>
      <c r="DW109" s="84" t="s">
        <v>927</v>
      </c>
      <c r="DX109" s="84" t="s">
        <v>1747</v>
      </c>
      <c r="DY109" s="86">
        <f t="shared" si="113"/>
        <v>7.999999999999996E-2</v>
      </c>
      <c r="DZ109" s="86"/>
      <c r="EA109" s="86">
        <f t="shared" si="114"/>
        <v>0.23558437978779492</v>
      </c>
      <c r="EB109" s="86">
        <v>3</v>
      </c>
      <c r="EC109" s="86">
        <v>3</v>
      </c>
      <c r="ED109" s="84" t="s">
        <v>1743</v>
      </c>
      <c r="EE109" s="84" t="s">
        <v>1744</v>
      </c>
      <c r="EF109" s="84" t="s">
        <v>1746</v>
      </c>
      <c r="EG109" s="86">
        <f t="shared" si="115"/>
        <v>0.14000000000000001</v>
      </c>
      <c r="EH109" s="86"/>
      <c r="EI109" s="86">
        <f t="shared" si="116"/>
        <v>0.19364916731037085</v>
      </c>
      <c r="EJ109" s="86">
        <v>3</v>
      </c>
      <c r="EK109" s="86">
        <v>3</v>
      </c>
      <c r="EL109" s="84" t="s">
        <v>1743</v>
      </c>
      <c r="EM109" s="84" t="s">
        <v>1745</v>
      </c>
      <c r="EN109" s="86">
        <f t="shared" si="117"/>
        <v>7.999999999999996E-2</v>
      </c>
      <c r="EO109" s="86">
        <f t="shared" si="118"/>
        <v>0.23558437978779492</v>
      </c>
      <c r="EP109" s="86">
        <f t="shared" si="119"/>
        <v>3</v>
      </c>
      <c r="EQ109" s="86">
        <f t="shared" si="120"/>
        <v>3</v>
      </c>
      <c r="ER109" s="86">
        <f t="shared" si="121"/>
        <v>0.14000000000000001</v>
      </c>
      <c r="ES109" s="86">
        <f t="shared" si="122"/>
        <v>0.19364916731037085</v>
      </c>
      <c r="ET109" s="86">
        <f t="shared" si="123"/>
        <v>3</v>
      </c>
      <c r="EU109" s="86">
        <f t="shared" si="124"/>
        <v>3</v>
      </c>
      <c r="EV109" s="86">
        <f t="shared" si="106"/>
        <v>0.21563858652847825</v>
      </c>
      <c r="EW109" s="86">
        <f t="shared" si="107"/>
        <v>-0.27824333745610119</v>
      </c>
      <c r="EX109" s="86">
        <f t="shared" si="108"/>
        <v>0.67311827956989245</v>
      </c>
      <c r="EY109" s="86">
        <f t="shared" si="109"/>
        <v>0.8</v>
      </c>
      <c r="EZ109" s="83">
        <f t="shared" si="110"/>
        <v>-0.22259466996488098</v>
      </c>
      <c r="FA109" s="83">
        <f t="shared" si="111"/>
        <v>0.43079569892473124</v>
      </c>
      <c r="FB109" s="83">
        <f t="shared" si="112"/>
        <v>6</v>
      </c>
      <c r="FC109" s="84" t="s">
        <v>385</v>
      </c>
    </row>
    <row r="110" spans="1:159" s="84" customFormat="1" ht="17.100000000000001" customHeight="1">
      <c r="A110" s="78" t="s">
        <v>1808</v>
      </c>
      <c r="B110" s="91" t="s">
        <v>1916</v>
      </c>
      <c r="C110" s="80" t="str">
        <f t="shared" si="71"/>
        <v>King, R. 2000.  Effects of single burn events on degraded oak savanna. Ecological Restoration. 18 (4): 228-233.</v>
      </c>
      <c r="D110" s="81" t="s">
        <v>1477</v>
      </c>
      <c r="E110" s="81">
        <v>2000</v>
      </c>
      <c r="F110" s="91" t="s">
        <v>1532</v>
      </c>
      <c r="G110" s="91" t="s">
        <v>1128</v>
      </c>
      <c r="H110" s="91" t="s">
        <v>919</v>
      </c>
      <c r="I110" s="91" t="s">
        <v>920</v>
      </c>
      <c r="J110" s="81"/>
      <c r="K110" s="92" t="s">
        <v>921</v>
      </c>
      <c r="L110" s="84" t="s">
        <v>18</v>
      </c>
      <c r="M110" s="95" t="s">
        <v>73</v>
      </c>
      <c r="N110" s="84" t="s">
        <v>389</v>
      </c>
      <c r="P110" s="91" t="s">
        <v>16</v>
      </c>
      <c r="Q110" s="91" t="s">
        <v>876</v>
      </c>
      <c r="R110" s="91" t="s">
        <v>922</v>
      </c>
      <c r="S110" s="91"/>
      <c r="T110" s="91" t="s">
        <v>923</v>
      </c>
      <c r="U110" s="91" t="s">
        <v>924</v>
      </c>
      <c r="V110" s="91">
        <v>44.13</v>
      </c>
      <c r="W110" s="91">
        <v>-90.18</v>
      </c>
      <c r="X110" s="81"/>
      <c r="Y110" s="66" t="s">
        <v>1897</v>
      </c>
      <c r="Z110" s="66" t="s">
        <v>2203</v>
      </c>
      <c r="AA110" s="109" t="s">
        <v>97</v>
      </c>
      <c r="AB110" s="84" t="s">
        <v>103</v>
      </c>
      <c r="AC110" s="81" t="s">
        <v>137</v>
      </c>
      <c r="AF110" s="112" t="s">
        <v>64</v>
      </c>
      <c r="AG110" s="112" t="s">
        <v>92</v>
      </c>
      <c r="AH110" s="112" t="s">
        <v>106</v>
      </c>
      <c r="AI110" s="84" t="s">
        <v>93</v>
      </c>
      <c r="AJ110" s="114">
        <v>3</v>
      </c>
      <c r="AK110" s="114">
        <v>1</v>
      </c>
      <c r="AL110" s="114">
        <v>1</v>
      </c>
      <c r="AM110" s="174" t="s">
        <v>64</v>
      </c>
      <c r="AN110" s="84" t="s">
        <v>929</v>
      </c>
      <c r="AO110" s="84" t="s">
        <v>524</v>
      </c>
      <c r="AP110" s="68" t="s">
        <v>2228</v>
      </c>
      <c r="AQ110" s="84" t="s">
        <v>94</v>
      </c>
      <c r="AR110" s="86">
        <v>1</v>
      </c>
      <c r="AS110" s="86">
        <v>1</v>
      </c>
      <c r="AT110" s="86"/>
      <c r="AU110" s="90"/>
      <c r="AV110" s="88">
        <v>1</v>
      </c>
      <c r="AX110" s="91" t="s">
        <v>80</v>
      </c>
      <c r="AY110" s="86">
        <v>3</v>
      </c>
      <c r="AZ110" s="119">
        <v>1</v>
      </c>
      <c r="BA110" s="86">
        <v>1</v>
      </c>
      <c r="BB110" s="86"/>
      <c r="BD110" s="113" t="s">
        <v>124</v>
      </c>
      <c r="BE110" s="112" t="s">
        <v>182</v>
      </c>
      <c r="BF110" s="93" t="s">
        <v>387</v>
      </c>
      <c r="BG110" s="112" t="s">
        <v>21</v>
      </c>
      <c r="BH110" s="112" t="s">
        <v>81</v>
      </c>
      <c r="BI110" s="84" t="s">
        <v>925</v>
      </c>
      <c r="BJ110" s="89">
        <f t="shared" si="95"/>
        <v>0.75</v>
      </c>
      <c r="BK110" s="84">
        <v>9</v>
      </c>
      <c r="BL110" s="84">
        <v>9</v>
      </c>
      <c r="BM110" s="88">
        <v>0.75</v>
      </c>
      <c r="BN110" s="84" t="s">
        <v>379</v>
      </c>
      <c r="BO110" s="84" t="s">
        <v>926</v>
      </c>
      <c r="BP110" s="84" t="s">
        <v>64</v>
      </c>
      <c r="BR110" s="81" t="s">
        <v>679</v>
      </c>
      <c r="BS110" s="81" t="s">
        <v>679</v>
      </c>
      <c r="BU110" s="86"/>
      <c r="BV110" s="86"/>
      <c r="BW110" s="90"/>
      <c r="BX110" s="86"/>
      <c r="BY110" s="86"/>
      <c r="CC110" s="86"/>
      <c r="CD110" s="86"/>
      <c r="CE110" s="69"/>
      <c r="CF110" s="86"/>
      <c r="CG110" s="86"/>
      <c r="CK110" s="86"/>
      <c r="CL110" s="86"/>
      <c r="CM110" s="86"/>
      <c r="CN110" s="86"/>
      <c r="CO110" s="86"/>
      <c r="CR110" s="84" t="s">
        <v>1253</v>
      </c>
      <c r="CS110" s="86">
        <v>0.28000000000000003</v>
      </c>
      <c r="CT110" s="86">
        <v>0.1</v>
      </c>
      <c r="CU110" s="86">
        <v>0.17320508075688773</v>
      </c>
      <c r="CV110" s="86">
        <v>3</v>
      </c>
      <c r="CW110" s="86">
        <v>3</v>
      </c>
      <c r="CX110" s="84" t="s">
        <v>351</v>
      </c>
      <c r="CY110" s="84" t="s">
        <v>927</v>
      </c>
      <c r="CZ110" s="84" t="s">
        <v>80</v>
      </c>
      <c r="DA110" s="82">
        <v>0.28000000000000003</v>
      </c>
      <c r="DB110" s="82">
        <v>0.18</v>
      </c>
      <c r="DC110" s="82">
        <v>0.31176914536239786</v>
      </c>
      <c r="DD110" s="82">
        <v>3</v>
      </c>
      <c r="DE110" s="82">
        <v>3</v>
      </c>
      <c r="DF110" s="84" t="s">
        <v>351</v>
      </c>
      <c r="DG110" s="84" t="s">
        <v>927</v>
      </c>
      <c r="DH110" s="84" t="s">
        <v>1253</v>
      </c>
      <c r="DI110" s="82">
        <v>0.34</v>
      </c>
      <c r="DJ110" s="82">
        <v>0.06</v>
      </c>
      <c r="DK110" s="82">
        <v>0.10392304845413262</v>
      </c>
      <c r="DL110" s="82">
        <v>3</v>
      </c>
      <c r="DM110" s="82">
        <v>3</v>
      </c>
      <c r="DN110" s="84" t="s">
        <v>351</v>
      </c>
      <c r="DO110" s="84" t="s">
        <v>927</v>
      </c>
      <c r="DP110" s="84" t="s">
        <v>80</v>
      </c>
      <c r="DQ110" s="82">
        <v>0.46</v>
      </c>
      <c r="DR110" s="82">
        <v>7.0000000000000007E-2</v>
      </c>
      <c r="DS110" s="82">
        <v>0.12124355652982141</v>
      </c>
      <c r="DT110" s="82">
        <v>3</v>
      </c>
      <c r="DU110" s="82">
        <v>3</v>
      </c>
      <c r="DV110" s="84" t="s">
        <v>351</v>
      </c>
      <c r="DW110" s="84" t="s">
        <v>927</v>
      </c>
      <c r="DX110" s="84" t="s">
        <v>1747</v>
      </c>
      <c r="DY110" s="86">
        <f t="shared" si="113"/>
        <v>0.06</v>
      </c>
      <c r="DZ110" s="86"/>
      <c r="EA110" s="86">
        <f t="shared" si="114"/>
        <v>0.20199009876724155</v>
      </c>
      <c r="EB110" s="86">
        <v>3</v>
      </c>
      <c r="EC110" s="86">
        <v>3</v>
      </c>
      <c r="ED110" s="84" t="s">
        <v>1743</v>
      </c>
      <c r="EE110" s="84" t="s">
        <v>1744</v>
      </c>
      <c r="EF110" s="84" t="s">
        <v>1746</v>
      </c>
      <c r="EG110" s="86">
        <f t="shared" si="115"/>
        <v>0.18</v>
      </c>
      <c r="EH110" s="86"/>
      <c r="EI110" s="86">
        <f t="shared" si="116"/>
        <v>0.33451457367355458</v>
      </c>
      <c r="EJ110" s="86">
        <v>3</v>
      </c>
      <c r="EK110" s="86">
        <v>3</v>
      </c>
      <c r="EL110" s="84" t="s">
        <v>1743</v>
      </c>
      <c r="EM110" s="84" t="s">
        <v>1745</v>
      </c>
      <c r="EN110" s="86">
        <f t="shared" si="117"/>
        <v>0.06</v>
      </c>
      <c r="EO110" s="86">
        <f t="shared" si="118"/>
        <v>0.20199009876724155</v>
      </c>
      <c r="EP110" s="86">
        <f t="shared" si="119"/>
        <v>3</v>
      </c>
      <c r="EQ110" s="86">
        <f t="shared" si="120"/>
        <v>3</v>
      </c>
      <c r="ER110" s="86">
        <f t="shared" si="121"/>
        <v>0.18</v>
      </c>
      <c r="ES110" s="86">
        <f t="shared" si="122"/>
        <v>0.33451457367355458</v>
      </c>
      <c r="ET110" s="86">
        <f t="shared" si="123"/>
        <v>3</v>
      </c>
      <c r="EU110" s="86">
        <f t="shared" si="124"/>
        <v>3</v>
      </c>
      <c r="EV110" s="86">
        <f t="shared" si="106"/>
        <v>0.276315037592962</v>
      </c>
      <c r="EW110" s="86">
        <f t="shared" si="107"/>
        <v>-0.43428689602037246</v>
      </c>
      <c r="EX110" s="86">
        <f t="shared" si="108"/>
        <v>0.68238375900458415</v>
      </c>
      <c r="EY110" s="86">
        <f t="shared" si="109"/>
        <v>0.8</v>
      </c>
      <c r="EZ110" s="83">
        <f t="shared" si="110"/>
        <v>-0.34742951681629797</v>
      </c>
      <c r="FA110" s="83">
        <f t="shared" si="111"/>
        <v>0.43672560576293395</v>
      </c>
      <c r="FB110" s="83">
        <f t="shared" si="112"/>
        <v>6</v>
      </c>
      <c r="FC110" s="84" t="s">
        <v>385</v>
      </c>
    </row>
    <row r="111" spans="1:159" s="84" customFormat="1" ht="17.100000000000001" customHeight="1">
      <c r="A111" s="78" t="s">
        <v>1808</v>
      </c>
      <c r="B111" s="91" t="s">
        <v>1916</v>
      </c>
      <c r="C111" s="80" t="str">
        <f t="shared" si="71"/>
        <v>King, R. 2000.  Effects of single burn events on degraded oak savanna. Ecological Restoration. 18 (4): 228-233.</v>
      </c>
      <c r="D111" s="81" t="s">
        <v>1477</v>
      </c>
      <c r="E111" s="81">
        <v>2000</v>
      </c>
      <c r="F111" s="91" t="s">
        <v>1532</v>
      </c>
      <c r="G111" s="91" t="s">
        <v>1128</v>
      </c>
      <c r="H111" s="91" t="s">
        <v>919</v>
      </c>
      <c r="I111" s="91" t="s">
        <v>920</v>
      </c>
      <c r="J111" s="81"/>
      <c r="K111" s="92" t="s">
        <v>921</v>
      </c>
      <c r="L111" s="84" t="s">
        <v>18</v>
      </c>
      <c r="M111" s="95" t="s">
        <v>73</v>
      </c>
      <c r="N111" s="84" t="s">
        <v>389</v>
      </c>
      <c r="P111" s="91" t="s">
        <v>16</v>
      </c>
      <c r="Q111" s="91" t="s">
        <v>876</v>
      </c>
      <c r="R111" s="91" t="s">
        <v>922</v>
      </c>
      <c r="S111" s="91"/>
      <c r="T111" s="91" t="s">
        <v>923</v>
      </c>
      <c r="U111" s="91" t="s">
        <v>924</v>
      </c>
      <c r="V111" s="91">
        <v>44.13</v>
      </c>
      <c r="W111" s="91">
        <v>-90.18</v>
      </c>
      <c r="X111" s="81"/>
      <c r="Y111" s="66" t="s">
        <v>1897</v>
      </c>
      <c r="Z111" s="66" t="s">
        <v>2203</v>
      </c>
      <c r="AA111" s="109" t="s">
        <v>97</v>
      </c>
      <c r="AB111" s="84" t="s">
        <v>103</v>
      </c>
      <c r="AC111" s="81" t="s">
        <v>137</v>
      </c>
      <c r="AF111" s="112" t="s">
        <v>64</v>
      </c>
      <c r="AG111" s="112" t="s">
        <v>92</v>
      </c>
      <c r="AH111" s="112" t="s">
        <v>106</v>
      </c>
      <c r="AI111" s="84" t="s">
        <v>93</v>
      </c>
      <c r="AJ111" s="114">
        <v>3</v>
      </c>
      <c r="AK111" s="114">
        <v>1</v>
      </c>
      <c r="AL111" s="114">
        <v>1</v>
      </c>
      <c r="AM111" s="174" t="s">
        <v>64</v>
      </c>
      <c r="AN111" s="84" t="s">
        <v>929</v>
      </c>
      <c r="AO111" s="84" t="s">
        <v>524</v>
      </c>
      <c r="AP111" s="68" t="s">
        <v>2228</v>
      </c>
      <c r="AQ111" s="84" t="s">
        <v>94</v>
      </c>
      <c r="AR111" s="86">
        <v>1</v>
      </c>
      <c r="AS111" s="86">
        <v>1</v>
      </c>
      <c r="AT111" s="86"/>
      <c r="AU111" s="90"/>
      <c r="AV111" s="88">
        <v>1</v>
      </c>
      <c r="AX111" s="91" t="s">
        <v>80</v>
      </c>
      <c r="AY111" s="86">
        <v>3</v>
      </c>
      <c r="AZ111" s="119">
        <v>1</v>
      </c>
      <c r="BA111" s="86">
        <v>1</v>
      </c>
      <c r="BB111" s="86"/>
      <c r="BD111" s="113" t="s">
        <v>124</v>
      </c>
      <c r="BE111" s="112" t="s">
        <v>182</v>
      </c>
      <c r="BF111" s="93" t="s">
        <v>112</v>
      </c>
      <c r="BG111" s="112" t="s">
        <v>21</v>
      </c>
      <c r="BH111" s="112" t="s">
        <v>81</v>
      </c>
      <c r="BI111" s="84" t="s">
        <v>925</v>
      </c>
      <c r="BJ111" s="89">
        <f t="shared" si="95"/>
        <v>0.75</v>
      </c>
      <c r="BK111" s="84">
        <v>9</v>
      </c>
      <c r="BL111" s="84">
        <v>9</v>
      </c>
      <c r="BM111" s="88">
        <v>0.75</v>
      </c>
      <c r="BN111" s="84" t="s">
        <v>379</v>
      </c>
      <c r="BO111" s="84" t="s">
        <v>926</v>
      </c>
      <c r="BP111" s="84" t="s">
        <v>64</v>
      </c>
      <c r="BR111" s="81" t="s">
        <v>1765</v>
      </c>
      <c r="BS111" s="81" t="s">
        <v>2175</v>
      </c>
      <c r="BU111" s="86"/>
      <c r="BV111" s="86"/>
      <c r="BW111" s="90"/>
      <c r="BX111" s="86"/>
      <c r="BY111" s="86"/>
      <c r="CC111" s="86"/>
      <c r="CD111" s="86"/>
      <c r="CE111" s="69"/>
      <c r="CF111" s="86"/>
      <c r="CG111" s="86"/>
      <c r="CK111" s="86"/>
      <c r="CL111" s="86"/>
      <c r="CM111" s="86"/>
      <c r="CN111" s="86"/>
      <c r="CO111" s="86"/>
      <c r="CR111" s="84" t="s">
        <v>1253</v>
      </c>
      <c r="CS111" s="86">
        <v>0.28999999999999998</v>
      </c>
      <c r="CT111" s="86">
        <v>0.1</v>
      </c>
      <c r="CU111" s="86">
        <v>0.17320508075688773</v>
      </c>
      <c r="CV111" s="86">
        <v>3</v>
      </c>
      <c r="CW111" s="86">
        <v>3</v>
      </c>
      <c r="CX111" s="84" t="s">
        <v>351</v>
      </c>
      <c r="CY111" s="84" t="s">
        <v>927</v>
      </c>
      <c r="CZ111" s="84" t="s">
        <v>80</v>
      </c>
      <c r="DA111" s="82">
        <v>0.34</v>
      </c>
      <c r="DB111" s="82">
        <v>0.05</v>
      </c>
      <c r="DC111" s="82">
        <v>8.6602540378443865E-2</v>
      </c>
      <c r="DD111" s="82">
        <v>3</v>
      </c>
      <c r="DE111" s="82">
        <v>3</v>
      </c>
      <c r="DF111" s="84" t="s">
        <v>351</v>
      </c>
      <c r="DG111" s="84" t="s">
        <v>927</v>
      </c>
      <c r="DH111" s="84" t="s">
        <v>1253</v>
      </c>
      <c r="DI111" s="82">
        <v>0.28000000000000003</v>
      </c>
      <c r="DJ111" s="82">
        <v>7.0000000000000007E-2</v>
      </c>
      <c r="DK111" s="82">
        <v>0.12124355652982141</v>
      </c>
      <c r="DL111" s="82">
        <v>3</v>
      </c>
      <c r="DM111" s="82">
        <v>3</v>
      </c>
      <c r="DN111" s="82" t="s">
        <v>351</v>
      </c>
      <c r="DO111" s="84" t="s">
        <v>927</v>
      </c>
      <c r="DP111" s="84" t="s">
        <v>80</v>
      </c>
      <c r="DQ111" s="82">
        <v>0.37</v>
      </c>
      <c r="DR111" s="82">
        <v>0.05</v>
      </c>
      <c r="DS111" s="82">
        <v>8.6602540378443865E-2</v>
      </c>
      <c r="DT111" s="82">
        <v>3</v>
      </c>
      <c r="DU111" s="82">
        <v>3</v>
      </c>
      <c r="DV111" s="84" t="s">
        <v>351</v>
      </c>
      <c r="DW111" s="84" t="s">
        <v>927</v>
      </c>
      <c r="DX111" s="84" t="s">
        <v>1747</v>
      </c>
      <c r="DY111" s="86">
        <f t="shared" si="113"/>
        <v>-9.9999999999999534E-3</v>
      </c>
      <c r="DZ111" s="86"/>
      <c r="EA111" s="86">
        <f t="shared" si="114"/>
        <v>0.21142374511865974</v>
      </c>
      <c r="EB111" s="86">
        <v>3</v>
      </c>
      <c r="EC111" s="86">
        <v>3</v>
      </c>
      <c r="ED111" s="84" t="s">
        <v>1743</v>
      </c>
      <c r="EE111" s="84" t="s">
        <v>1744</v>
      </c>
      <c r="EF111" s="84" t="s">
        <v>1746</v>
      </c>
      <c r="EG111" s="86">
        <f t="shared" si="115"/>
        <v>2.9999999999999971E-2</v>
      </c>
      <c r="EH111" s="86"/>
      <c r="EI111" s="86">
        <f t="shared" si="116"/>
        <v>0.1224744871391589</v>
      </c>
      <c r="EJ111" s="86">
        <v>3</v>
      </c>
      <c r="EK111" s="86">
        <v>3</v>
      </c>
      <c r="EL111" s="84" t="s">
        <v>1743</v>
      </c>
      <c r="EM111" s="84" t="s">
        <v>1745</v>
      </c>
      <c r="EN111" s="86">
        <f t="shared" si="117"/>
        <v>-9.9999999999999534E-3</v>
      </c>
      <c r="EO111" s="86">
        <f t="shared" si="118"/>
        <v>0.21142374511865974</v>
      </c>
      <c r="EP111" s="86">
        <f t="shared" si="119"/>
        <v>3</v>
      </c>
      <c r="EQ111" s="86">
        <f t="shared" si="120"/>
        <v>3</v>
      </c>
      <c r="ER111" s="86">
        <f t="shared" si="121"/>
        <v>2.9999999999999971E-2</v>
      </c>
      <c r="ES111" s="86">
        <f t="shared" si="122"/>
        <v>0.1224744871391589</v>
      </c>
      <c r="ET111" s="86">
        <f t="shared" si="123"/>
        <v>3</v>
      </c>
      <c r="EU111" s="86">
        <f t="shared" si="124"/>
        <v>3</v>
      </c>
      <c r="EV111" s="86">
        <f t="shared" si="106"/>
        <v>0.17277152543170995</v>
      </c>
      <c r="EW111" s="86">
        <f t="shared" si="107"/>
        <v>-0.23151963206929263</v>
      </c>
      <c r="EX111" s="86">
        <f t="shared" si="108"/>
        <v>0.67113344500279171</v>
      </c>
      <c r="EY111" s="86">
        <f t="shared" si="109"/>
        <v>0.8</v>
      </c>
      <c r="EZ111" s="83">
        <f t="shared" si="110"/>
        <v>-0.1852157056554341</v>
      </c>
      <c r="FA111" s="83">
        <f t="shared" si="111"/>
        <v>0.4295254048017868</v>
      </c>
      <c r="FB111" s="83">
        <f t="shared" si="112"/>
        <v>6</v>
      </c>
      <c r="FC111" s="84" t="s">
        <v>385</v>
      </c>
    </row>
    <row r="112" spans="1:159" s="84" customFormat="1" ht="17.100000000000001" customHeight="1">
      <c r="A112" s="78" t="s">
        <v>1808</v>
      </c>
      <c r="B112" s="91" t="s">
        <v>1915</v>
      </c>
      <c r="C112" s="80" t="str">
        <f t="shared" si="71"/>
        <v>King, R. 2000.  Effects of single burn events on degraded oak savanna. Ecological Restoration. 18 (4): 228-233.</v>
      </c>
      <c r="D112" s="81" t="s">
        <v>1477</v>
      </c>
      <c r="E112" s="81">
        <v>2000</v>
      </c>
      <c r="F112" s="91" t="s">
        <v>1532</v>
      </c>
      <c r="G112" s="91" t="s">
        <v>1128</v>
      </c>
      <c r="H112" s="91" t="s">
        <v>919</v>
      </c>
      <c r="I112" s="91" t="s">
        <v>920</v>
      </c>
      <c r="J112" s="81"/>
      <c r="K112" s="92" t="s">
        <v>921</v>
      </c>
      <c r="L112" s="84" t="s">
        <v>18</v>
      </c>
      <c r="M112" s="95" t="s">
        <v>73</v>
      </c>
      <c r="N112" s="84" t="s">
        <v>389</v>
      </c>
      <c r="P112" s="91" t="s">
        <v>16</v>
      </c>
      <c r="Q112" s="91" t="s">
        <v>876</v>
      </c>
      <c r="R112" s="91" t="s">
        <v>922</v>
      </c>
      <c r="S112" s="91"/>
      <c r="T112" s="91" t="s">
        <v>923</v>
      </c>
      <c r="U112" s="91" t="s">
        <v>924</v>
      </c>
      <c r="V112" s="91">
        <v>44.13</v>
      </c>
      <c r="W112" s="91">
        <v>-90.18</v>
      </c>
      <c r="X112" s="81"/>
      <c r="Y112" s="66" t="s">
        <v>1897</v>
      </c>
      <c r="Z112" s="66" t="s">
        <v>2203</v>
      </c>
      <c r="AA112" s="109" t="s">
        <v>97</v>
      </c>
      <c r="AB112" s="84" t="s">
        <v>103</v>
      </c>
      <c r="AC112" s="81" t="s">
        <v>137</v>
      </c>
      <c r="AF112" s="112" t="s">
        <v>64</v>
      </c>
      <c r="AG112" s="112" t="s">
        <v>92</v>
      </c>
      <c r="AH112" s="112" t="s">
        <v>106</v>
      </c>
      <c r="AI112" s="84" t="s">
        <v>93</v>
      </c>
      <c r="AJ112" s="114">
        <v>3</v>
      </c>
      <c r="AK112" s="114">
        <v>1</v>
      </c>
      <c r="AL112" s="114">
        <v>1</v>
      </c>
      <c r="AM112" s="174" t="s">
        <v>64</v>
      </c>
      <c r="AN112" s="84" t="s">
        <v>521</v>
      </c>
      <c r="AO112" s="84" t="s">
        <v>526</v>
      </c>
      <c r="AP112" s="68" t="s">
        <v>2227</v>
      </c>
      <c r="AQ112" s="84" t="s">
        <v>95</v>
      </c>
      <c r="AR112" s="86">
        <v>1</v>
      </c>
      <c r="AS112" s="86">
        <v>1</v>
      </c>
      <c r="AT112" s="86"/>
      <c r="AU112" s="90"/>
      <c r="AV112" s="88">
        <v>1</v>
      </c>
      <c r="AW112" s="84" t="s">
        <v>1622</v>
      </c>
      <c r="AX112" s="91" t="s">
        <v>80</v>
      </c>
      <c r="AY112" s="86">
        <v>3</v>
      </c>
      <c r="AZ112" s="119">
        <v>1</v>
      </c>
      <c r="BA112" s="86">
        <v>1</v>
      </c>
      <c r="BB112" s="86"/>
      <c r="BD112" s="113" t="s">
        <v>124</v>
      </c>
      <c r="BE112" s="112" t="s">
        <v>182</v>
      </c>
      <c r="BF112" s="93" t="s">
        <v>2109</v>
      </c>
      <c r="BG112" s="112" t="s">
        <v>21</v>
      </c>
      <c r="BH112" s="112" t="s">
        <v>81</v>
      </c>
      <c r="BI112" s="84" t="s">
        <v>925</v>
      </c>
      <c r="BJ112" s="89">
        <f t="shared" si="95"/>
        <v>0.16666666666666666</v>
      </c>
      <c r="BK112" s="84">
        <v>2</v>
      </c>
      <c r="BL112" s="84">
        <v>2</v>
      </c>
      <c r="BM112" s="88">
        <v>0.16666666666666666</v>
      </c>
      <c r="BN112" s="84" t="s">
        <v>379</v>
      </c>
      <c r="BO112" s="84" t="s">
        <v>926</v>
      </c>
      <c r="BP112" s="84" t="s">
        <v>64</v>
      </c>
      <c r="BR112" s="81" t="s">
        <v>2113</v>
      </c>
      <c r="BS112" s="81" t="s">
        <v>2159</v>
      </c>
      <c r="BU112" s="86"/>
      <c r="BV112" s="86"/>
      <c r="BW112" s="90"/>
      <c r="BX112" s="86"/>
      <c r="BY112" s="86"/>
      <c r="CC112" s="86"/>
      <c r="CD112" s="86"/>
      <c r="CE112" s="102"/>
      <c r="CF112" s="86"/>
      <c r="CG112" s="86"/>
      <c r="CK112" s="86"/>
      <c r="CL112" s="86"/>
      <c r="CM112" s="86"/>
      <c r="CN112" s="86"/>
      <c r="CO112" s="86"/>
      <c r="CR112" s="84" t="s">
        <v>1256</v>
      </c>
      <c r="CS112" s="86">
        <v>0.94000000000000006</v>
      </c>
      <c r="CT112" s="86"/>
      <c r="CU112" s="86">
        <v>0.17406895185529211</v>
      </c>
      <c r="CV112" s="86">
        <v>3</v>
      </c>
      <c r="CW112" s="86">
        <v>3</v>
      </c>
      <c r="CX112" s="84" t="s">
        <v>2115</v>
      </c>
      <c r="CY112" s="84" t="s">
        <v>927</v>
      </c>
      <c r="CZ112" s="84" t="s">
        <v>80</v>
      </c>
      <c r="DA112" s="82">
        <v>0.78</v>
      </c>
      <c r="DB112" s="82"/>
      <c r="DC112" s="82">
        <v>0.35665109000254014</v>
      </c>
      <c r="DD112" s="82">
        <v>3</v>
      </c>
      <c r="DE112" s="82">
        <v>3</v>
      </c>
      <c r="DF112" s="84" t="s">
        <v>2115</v>
      </c>
      <c r="DG112" s="84" t="s">
        <v>927</v>
      </c>
      <c r="DH112" s="84" t="s">
        <v>1256</v>
      </c>
      <c r="DI112" s="82">
        <v>0.94000000000000006</v>
      </c>
      <c r="DJ112" s="82"/>
      <c r="DK112" s="82">
        <v>0.13527749258468683</v>
      </c>
      <c r="DL112" s="82">
        <v>3</v>
      </c>
      <c r="DM112" s="82">
        <v>3</v>
      </c>
      <c r="DN112" s="84" t="s">
        <v>2115</v>
      </c>
      <c r="DO112" s="117" t="s">
        <v>927</v>
      </c>
      <c r="DP112" s="84" t="s">
        <v>80</v>
      </c>
      <c r="DQ112" s="82">
        <v>1.1000000000000001</v>
      </c>
      <c r="DR112" s="82"/>
      <c r="DS112" s="82">
        <v>0.14899664425751338</v>
      </c>
      <c r="DT112" s="82">
        <v>3</v>
      </c>
      <c r="DU112" s="82">
        <v>3</v>
      </c>
      <c r="DV112" s="84" t="s">
        <v>2115</v>
      </c>
      <c r="DW112" s="84" t="s">
        <v>927</v>
      </c>
      <c r="DX112" s="84" t="s">
        <v>1747</v>
      </c>
      <c r="DY112" s="86">
        <f t="shared" si="113"/>
        <v>0</v>
      </c>
      <c r="DZ112" s="86"/>
      <c r="EA112" s="86">
        <f t="shared" si="114"/>
        <v>0.22045407685048604</v>
      </c>
      <c r="EB112" s="86">
        <v>3</v>
      </c>
      <c r="EC112" s="86">
        <v>3</v>
      </c>
      <c r="ED112" s="84" t="s">
        <v>1743</v>
      </c>
      <c r="EE112" s="84" t="s">
        <v>1744</v>
      </c>
      <c r="EF112" s="84" t="s">
        <v>1746</v>
      </c>
      <c r="EG112" s="86">
        <f t="shared" si="115"/>
        <v>0.32000000000000006</v>
      </c>
      <c r="EH112" s="86"/>
      <c r="EI112" s="86">
        <f t="shared" si="116"/>
        <v>0.38652296180175372</v>
      </c>
      <c r="EJ112" s="86">
        <v>3</v>
      </c>
      <c r="EK112" s="86">
        <v>3</v>
      </c>
      <c r="EL112" s="84" t="s">
        <v>1743</v>
      </c>
      <c r="EM112" s="84" t="s">
        <v>1745</v>
      </c>
      <c r="EN112" s="86">
        <f t="shared" si="117"/>
        <v>0</v>
      </c>
      <c r="EO112" s="86">
        <f t="shared" si="118"/>
        <v>0.22045407685048604</v>
      </c>
      <c r="EP112" s="86">
        <f t="shared" si="119"/>
        <v>3</v>
      </c>
      <c r="EQ112" s="86">
        <f t="shared" si="120"/>
        <v>3</v>
      </c>
      <c r="ER112" s="86">
        <f t="shared" si="121"/>
        <v>0.32000000000000006</v>
      </c>
      <c r="ES112" s="86">
        <f t="shared" si="122"/>
        <v>0.38652296180175372</v>
      </c>
      <c r="ET112" s="86">
        <f t="shared" si="123"/>
        <v>3</v>
      </c>
      <c r="EU112" s="86">
        <f t="shared" si="124"/>
        <v>3</v>
      </c>
      <c r="EV112" s="86">
        <f t="shared" si="106"/>
        <v>0.31464265445104544</v>
      </c>
      <c r="EW112" s="86">
        <f t="shared" si="107"/>
        <v>-1.0170267618619655</v>
      </c>
      <c r="EX112" s="86">
        <f t="shared" si="108"/>
        <v>0.7528619528619529</v>
      </c>
      <c r="EY112" s="86">
        <f t="shared" si="109"/>
        <v>0.8</v>
      </c>
      <c r="EZ112" s="83">
        <f t="shared" si="110"/>
        <v>-0.8136214094895724</v>
      </c>
      <c r="FA112" s="83">
        <f t="shared" si="111"/>
        <v>0.48183164983164994</v>
      </c>
      <c r="FB112" s="83">
        <f t="shared" si="112"/>
        <v>6</v>
      </c>
      <c r="FC112" s="84" t="s">
        <v>385</v>
      </c>
    </row>
    <row r="113" spans="1:159" s="84" customFormat="1" ht="17.100000000000001" customHeight="1">
      <c r="A113" s="78" t="s">
        <v>1808</v>
      </c>
      <c r="B113" s="91" t="s">
        <v>1916</v>
      </c>
      <c r="C113" s="80" t="str">
        <f t="shared" si="71"/>
        <v>King, R. 2000.  Effects of single burn events on degraded oak savanna. Ecological Restoration. 18 (4): 228-233.</v>
      </c>
      <c r="D113" s="81" t="s">
        <v>1477</v>
      </c>
      <c r="E113" s="81">
        <v>2000</v>
      </c>
      <c r="F113" s="91" t="s">
        <v>1532</v>
      </c>
      <c r="G113" s="91" t="s">
        <v>1128</v>
      </c>
      <c r="H113" s="91" t="s">
        <v>919</v>
      </c>
      <c r="I113" s="91" t="s">
        <v>920</v>
      </c>
      <c r="J113" s="81"/>
      <c r="K113" s="92" t="s">
        <v>921</v>
      </c>
      <c r="L113" s="84" t="s">
        <v>18</v>
      </c>
      <c r="M113" s="95" t="s">
        <v>73</v>
      </c>
      <c r="N113" s="84" t="s">
        <v>389</v>
      </c>
      <c r="P113" s="91" t="s">
        <v>16</v>
      </c>
      <c r="Q113" s="91" t="s">
        <v>876</v>
      </c>
      <c r="R113" s="91" t="s">
        <v>922</v>
      </c>
      <c r="S113" s="91"/>
      <c r="T113" s="91" t="s">
        <v>923</v>
      </c>
      <c r="U113" s="91" t="s">
        <v>924</v>
      </c>
      <c r="V113" s="91">
        <v>44.13</v>
      </c>
      <c r="W113" s="91">
        <v>-90.18</v>
      </c>
      <c r="X113" s="81"/>
      <c r="Y113" s="66" t="s">
        <v>1897</v>
      </c>
      <c r="Z113" s="66" t="s">
        <v>2203</v>
      </c>
      <c r="AA113" s="109" t="s">
        <v>97</v>
      </c>
      <c r="AB113" s="84" t="s">
        <v>103</v>
      </c>
      <c r="AC113" s="81" t="s">
        <v>137</v>
      </c>
      <c r="AF113" s="112" t="s">
        <v>64</v>
      </c>
      <c r="AG113" s="112" t="s">
        <v>92</v>
      </c>
      <c r="AH113" s="112" t="s">
        <v>106</v>
      </c>
      <c r="AI113" s="84" t="s">
        <v>93</v>
      </c>
      <c r="AJ113" s="114">
        <v>3</v>
      </c>
      <c r="AK113" s="114">
        <v>1</v>
      </c>
      <c r="AL113" s="114">
        <v>1</v>
      </c>
      <c r="AM113" s="174" t="s">
        <v>64</v>
      </c>
      <c r="AN113" s="84" t="s">
        <v>929</v>
      </c>
      <c r="AO113" s="84" t="s">
        <v>524</v>
      </c>
      <c r="AP113" s="68" t="s">
        <v>2228</v>
      </c>
      <c r="AQ113" s="84" t="s">
        <v>94</v>
      </c>
      <c r="AR113" s="86">
        <v>1</v>
      </c>
      <c r="AS113" s="86">
        <v>1</v>
      </c>
      <c r="AT113" s="86"/>
      <c r="AU113" s="90"/>
      <c r="AV113" s="88">
        <v>1</v>
      </c>
      <c r="AX113" s="91" t="s">
        <v>80</v>
      </c>
      <c r="AY113" s="86">
        <v>3</v>
      </c>
      <c r="AZ113" s="119">
        <v>1</v>
      </c>
      <c r="BA113" s="86">
        <v>1</v>
      </c>
      <c r="BB113" s="86"/>
      <c r="BD113" s="113" t="s">
        <v>124</v>
      </c>
      <c r="BE113" s="112" t="s">
        <v>182</v>
      </c>
      <c r="BF113" s="93" t="s">
        <v>2109</v>
      </c>
      <c r="BG113" s="112" t="s">
        <v>21</v>
      </c>
      <c r="BH113" s="112" t="s">
        <v>81</v>
      </c>
      <c r="BI113" s="84" t="s">
        <v>925</v>
      </c>
      <c r="BJ113" s="89">
        <f t="shared" si="95"/>
        <v>0.75</v>
      </c>
      <c r="BK113" s="84">
        <v>9</v>
      </c>
      <c r="BL113" s="84">
        <v>9</v>
      </c>
      <c r="BM113" s="88">
        <v>0.75</v>
      </c>
      <c r="BN113" s="84" t="s">
        <v>379</v>
      </c>
      <c r="BO113" s="84" t="s">
        <v>926</v>
      </c>
      <c r="BP113" s="84" t="s">
        <v>64</v>
      </c>
      <c r="BR113" s="81" t="s">
        <v>2112</v>
      </c>
      <c r="BS113" s="81" t="s">
        <v>2159</v>
      </c>
      <c r="BU113" s="86"/>
      <c r="BV113" s="86"/>
      <c r="BW113" s="90"/>
      <c r="BX113" s="86"/>
      <c r="BY113" s="86"/>
      <c r="CA113" s="117"/>
      <c r="CC113" s="86"/>
      <c r="CD113" s="86"/>
      <c r="CE113" s="69"/>
      <c r="CF113" s="86"/>
      <c r="CG113" s="86"/>
      <c r="CI113" s="117"/>
      <c r="CK113" s="86"/>
      <c r="CL113" s="86"/>
      <c r="CM113" s="86"/>
      <c r="CN113" s="86"/>
      <c r="CO113" s="86"/>
      <c r="CR113" s="84" t="s">
        <v>1253</v>
      </c>
      <c r="CS113" s="86">
        <v>0.92</v>
      </c>
      <c r="CT113" s="86"/>
      <c r="CU113" s="86">
        <v>0.22181073012818833</v>
      </c>
      <c r="CV113" s="86">
        <v>3</v>
      </c>
      <c r="CW113" s="86">
        <v>3</v>
      </c>
      <c r="CX113" s="84" t="s">
        <v>2115</v>
      </c>
      <c r="CY113" s="84" t="s">
        <v>927</v>
      </c>
      <c r="CZ113" s="84" t="s">
        <v>80</v>
      </c>
      <c r="DA113" s="82">
        <v>0.78</v>
      </c>
      <c r="DB113" s="82"/>
      <c r="DC113" s="82">
        <v>0.35665109000254014</v>
      </c>
      <c r="DD113" s="82">
        <v>3</v>
      </c>
      <c r="DE113" s="82">
        <v>3</v>
      </c>
      <c r="DF113" s="84" t="s">
        <v>2115</v>
      </c>
      <c r="DG113" s="84" t="s">
        <v>927</v>
      </c>
      <c r="DH113" s="84" t="s">
        <v>1253</v>
      </c>
      <c r="DI113" s="82">
        <v>1.06</v>
      </c>
      <c r="DJ113" s="82"/>
      <c r="DK113" s="82">
        <v>0.21702534414210706</v>
      </c>
      <c r="DL113" s="82">
        <v>3</v>
      </c>
      <c r="DM113" s="82">
        <v>3</v>
      </c>
      <c r="DN113" s="84" t="s">
        <v>2115</v>
      </c>
      <c r="DO113" s="84" t="s">
        <v>927</v>
      </c>
      <c r="DP113" s="84" t="s">
        <v>80</v>
      </c>
      <c r="DQ113" s="82">
        <v>1.1000000000000001</v>
      </c>
      <c r="DR113" s="82"/>
      <c r="DS113" s="82">
        <v>0.14899664425751338</v>
      </c>
      <c r="DT113" s="82">
        <v>3</v>
      </c>
      <c r="DU113" s="82">
        <v>3</v>
      </c>
      <c r="DV113" s="84" t="s">
        <v>2115</v>
      </c>
      <c r="DW113" s="84" t="s">
        <v>927</v>
      </c>
      <c r="DX113" s="84" t="s">
        <v>1747</v>
      </c>
      <c r="DY113" s="86">
        <f t="shared" si="113"/>
        <v>0.14000000000000001</v>
      </c>
      <c r="DZ113" s="86"/>
      <c r="EA113" s="86">
        <f t="shared" si="114"/>
        <v>0.31032241298365804</v>
      </c>
      <c r="EB113" s="86">
        <v>3</v>
      </c>
      <c r="EC113" s="86">
        <v>3</v>
      </c>
      <c r="ED113" s="84" t="s">
        <v>1743</v>
      </c>
      <c r="EE113" s="84" t="s">
        <v>1744</v>
      </c>
      <c r="EF113" s="84" t="s">
        <v>1746</v>
      </c>
      <c r="EG113" s="86">
        <f t="shared" si="115"/>
        <v>0.32000000000000006</v>
      </c>
      <c r="EH113" s="86"/>
      <c r="EI113" s="86">
        <f t="shared" si="116"/>
        <v>0.38652296180175372</v>
      </c>
      <c r="EJ113" s="86">
        <v>3</v>
      </c>
      <c r="EK113" s="86">
        <v>3</v>
      </c>
      <c r="EL113" s="84" t="s">
        <v>1743</v>
      </c>
      <c r="EM113" s="84" t="s">
        <v>1745</v>
      </c>
      <c r="EN113" s="86">
        <f t="shared" si="117"/>
        <v>0.14000000000000001</v>
      </c>
      <c r="EO113" s="86">
        <f t="shared" si="118"/>
        <v>0.31032241298365804</v>
      </c>
      <c r="EP113" s="86">
        <f t="shared" si="119"/>
        <v>3</v>
      </c>
      <c r="EQ113" s="86">
        <f t="shared" si="120"/>
        <v>3</v>
      </c>
      <c r="ER113" s="86">
        <f t="shared" si="121"/>
        <v>0.32000000000000006</v>
      </c>
      <c r="ES113" s="86">
        <f t="shared" si="122"/>
        <v>0.38652296180175372</v>
      </c>
      <c r="ET113" s="86">
        <f t="shared" si="123"/>
        <v>3</v>
      </c>
      <c r="EU113" s="86">
        <f t="shared" si="124"/>
        <v>3</v>
      </c>
      <c r="EV113" s="86">
        <f t="shared" si="106"/>
        <v>0.35049964336643769</v>
      </c>
      <c r="EW113" s="86">
        <f t="shared" si="107"/>
        <v>-0.51355259101309558</v>
      </c>
      <c r="EX113" s="86">
        <f t="shared" si="108"/>
        <v>0.68864468864468864</v>
      </c>
      <c r="EY113" s="86">
        <f t="shared" si="109"/>
        <v>0.8</v>
      </c>
      <c r="EZ113" s="83">
        <f t="shared" si="110"/>
        <v>-0.41084207281047647</v>
      </c>
      <c r="FA113" s="83">
        <f t="shared" si="111"/>
        <v>0.44073260073260084</v>
      </c>
      <c r="FB113" s="83">
        <f t="shared" si="112"/>
        <v>6</v>
      </c>
      <c r="FC113" s="84" t="s">
        <v>385</v>
      </c>
    </row>
    <row r="114" spans="1:159" s="82" customFormat="1" ht="17.100000000000001" customHeight="1">
      <c r="A114" s="78" t="s">
        <v>1848</v>
      </c>
      <c r="B114" s="96" t="s">
        <v>297</v>
      </c>
      <c r="C114" s="80" t="str">
        <f t="shared" si="71"/>
        <v>Larsen, A. L., Jacquot, J. J., Keenlance, P. W., &amp; Keough, H. L.  2016.  Effects of an ongoing oak savanna restoration on small mammals in Lower Michigan. Forest Ecology and Management. 367: 120-127.</v>
      </c>
      <c r="D114" s="91" t="s">
        <v>1516</v>
      </c>
      <c r="E114" s="91">
        <v>2016</v>
      </c>
      <c r="F114" s="96" t="s">
        <v>1549</v>
      </c>
      <c r="G114" s="96" t="s">
        <v>20</v>
      </c>
      <c r="H114" s="91">
        <v>367</v>
      </c>
      <c r="I114" s="91" t="s">
        <v>1088</v>
      </c>
      <c r="J114" s="79"/>
      <c r="K114" s="141" t="s">
        <v>1089</v>
      </c>
      <c r="L114" s="82" t="s">
        <v>102</v>
      </c>
      <c r="M114" s="83" t="s">
        <v>73</v>
      </c>
      <c r="N114" s="82" t="s">
        <v>389</v>
      </c>
      <c r="P114" s="91" t="s">
        <v>16</v>
      </c>
      <c r="Q114" s="96" t="s">
        <v>373</v>
      </c>
      <c r="R114" s="96" t="s">
        <v>1090</v>
      </c>
      <c r="S114" s="96"/>
      <c r="T114" s="96" t="s">
        <v>1428</v>
      </c>
      <c r="U114" s="96" t="s">
        <v>1429</v>
      </c>
      <c r="V114" s="91">
        <v>43.5</v>
      </c>
      <c r="W114" s="91">
        <v>-86.21</v>
      </c>
      <c r="X114" s="91"/>
      <c r="Y114" s="66" t="s">
        <v>1897</v>
      </c>
      <c r="Z114" s="66" t="s">
        <v>2203</v>
      </c>
      <c r="AA114" s="97" t="s">
        <v>555</v>
      </c>
      <c r="AB114" s="79" t="s">
        <v>64</v>
      </c>
      <c r="AC114" s="82" t="s">
        <v>137</v>
      </c>
      <c r="AF114" s="82" t="s">
        <v>87</v>
      </c>
      <c r="AG114" s="82" t="s">
        <v>91</v>
      </c>
      <c r="AH114" s="82" t="s">
        <v>106</v>
      </c>
      <c r="AI114" s="82" t="s">
        <v>93</v>
      </c>
      <c r="AJ114" s="86">
        <v>5</v>
      </c>
      <c r="AK114" s="86">
        <v>1</v>
      </c>
      <c r="AL114" s="86">
        <v>1</v>
      </c>
      <c r="AM114" s="84" t="s">
        <v>1091</v>
      </c>
      <c r="AN114" s="84" t="s">
        <v>1092</v>
      </c>
      <c r="AO114" s="84" t="s">
        <v>1114</v>
      </c>
      <c r="AP114" s="68" t="s">
        <v>2227</v>
      </c>
      <c r="AQ114" s="82" t="s">
        <v>94</v>
      </c>
      <c r="AR114" s="86">
        <v>1</v>
      </c>
      <c r="AS114" s="86">
        <v>9</v>
      </c>
      <c r="AT114" s="86"/>
      <c r="AU114" s="87"/>
      <c r="AV114" s="88">
        <v>0.33333333333333331</v>
      </c>
      <c r="AW114" s="82" t="s">
        <v>1093</v>
      </c>
      <c r="AX114" s="82" t="s">
        <v>80</v>
      </c>
      <c r="AY114" s="86">
        <v>5</v>
      </c>
      <c r="AZ114" s="86">
        <v>1</v>
      </c>
      <c r="BA114" s="86">
        <v>9</v>
      </c>
      <c r="BB114" s="86"/>
      <c r="BD114" s="83" t="s">
        <v>122</v>
      </c>
      <c r="BE114" s="82" t="s">
        <v>157</v>
      </c>
      <c r="BF114" s="83" t="s">
        <v>116</v>
      </c>
      <c r="BG114" s="82" t="s">
        <v>21</v>
      </c>
      <c r="BH114" s="82" t="s">
        <v>81</v>
      </c>
      <c r="BI114" s="84" t="s">
        <v>1091</v>
      </c>
      <c r="BJ114" s="89">
        <f t="shared" si="95"/>
        <v>3</v>
      </c>
      <c r="BK114" s="84">
        <v>36</v>
      </c>
      <c r="BL114" s="84">
        <v>36</v>
      </c>
      <c r="BM114" s="88">
        <v>3</v>
      </c>
      <c r="BN114" s="82" t="s">
        <v>379</v>
      </c>
      <c r="BO114" s="82" t="s">
        <v>561</v>
      </c>
      <c r="BP114" s="82" t="s">
        <v>64</v>
      </c>
      <c r="BQ114" s="82" t="s">
        <v>579</v>
      </c>
      <c r="BR114" s="82" t="s">
        <v>1094</v>
      </c>
      <c r="BS114" s="82" t="s">
        <v>2157</v>
      </c>
      <c r="BU114" s="86"/>
      <c r="BV114" s="86"/>
      <c r="BW114" s="90"/>
      <c r="BX114" s="86"/>
      <c r="BY114" s="86"/>
      <c r="CC114" s="86"/>
      <c r="CD114" s="86"/>
      <c r="CE114" s="90"/>
      <c r="CF114" s="86"/>
      <c r="CG114" s="86"/>
      <c r="CJ114" s="82" t="s">
        <v>572</v>
      </c>
      <c r="CK114" s="86">
        <v>-0.01</v>
      </c>
      <c r="CL114" s="86">
        <v>0.19</v>
      </c>
      <c r="CM114" s="86">
        <v>0.42480000000000001</v>
      </c>
      <c r="CN114" s="86">
        <v>5</v>
      </c>
      <c r="CO114" s="86">
        <v>5</v>
      </c>
      <c r="CP114" s="82" t="s">
        <v>216</v>
      </c>
      <c r="CQ114" s="82" t="s">
        <v>1275</v>
      </c>
      <c r="CS114" s="86"/>
      <c r="CT114" s="86"/>
      <c r="CU114" s="86"/>
      <c r="CV114" s="86"/>
      <c r="CW114" s="86"/>
      <c r="DY114" s="86"/>
      <c r="DZ114" s="86"/>
      <c r="EA114" s="86"/>
      <c r="EB114" s="86"/>
      <c r="EC114" s="86"/>
      <c r="EG114" s="86"/>
      <c r="EH114" s="86"/>
      <c r="EI114" s="86"/>
      <c r="EJ114" s="86"/>
      <c r="EK114" s="86"/>
      <c r="EN114" s="86"/>
      <c r="EO114" s="90"/>
      <c r="EP114" s="86"/>
      <c r="EQ114" s="86"/>
      <c r="ER114" s="86"/>
      <c r="ES114" s="90"/>
      <c r="ET114" s="86"/>
      <c r="EU114" s="86"/>
      <c r="EV114" s="86"/>
      <c r="EW114" s="86"/>
      <c r="EX114" s="86"/>
      <c r="EY114" s="86"/>
      <c r="EZ114" s="83">
        <f>CK114</f>
        <v>-0.01</v>
      </c>
      <c r="FA114" s="83">
        <f>CM114</f>
        <v>0.42480000000000001</v>
      </c>
      <c r="FB114" s="83">
        <v>5</v>
      </c>
      <c r="FC114" s="82" t="s">
        <v>385</v>
      </c>
    </row>
    <row r="115" spans="1:159" s="82" customFormat="1" ht="17.100000000000001" customHeight="1">
      <c r="A115" s="78" t="s">
        <v>1787</v>
      </c>
      <c r="B115" s="79" t="s">
        <v>1592</v>
      </c>
      <c r="C115" s="80" t="str">
        <f t="shared" si="71"/>
        <v>Lazaruk, L. W., Kernaghan, G., Macdonald, S. E., &amp; Khasa, D.  2005.  Effects of partial cutting on the ectomycorrhizae of Picea glauca forests in northwestern Alberta. Canadian Journal of Forest Research. 35: 1442-1454.</v>
      </c>
      <c r="D115" s="79" t="s">
        <v>1459</v>
      </c>
      <c r="E115" s="81">
        <v>2005</v>
      </c>
      <c r="F115" s="79" t="s">
        <v>2333</v>
      </c>
      <c r="G115" s="79" t="s">
        <v>173</v>
      </c>
      <c r="H115" s="81">
        <v>35</v>
      </c>
      <c r="I115" s="81" t="s">
        <v>174</v>
      </c>
      <c r="K115" s="79" t="s">
        <v>175</v>
      </c>
      <c r="L115" s="82" t="s">
        <v>101</v>
      </c>
      <c r="M115" s="83" t="s">
        <v>73</v>
      </c>
      <c r="N115" s="82" t="s">
        <v>389</v>
      </c>
      <c r="P115" s="81" t="s">
        <v>154</v>
      </c>
      <c r="Q115" s="79" t="s">
        <v>155</v>
      </c>
      <c r="R115" s="79" t="s">
        <v>176</v>
      </c>
      <c r="S115" s="79" t="s">
        <v>177</v>
      </c>
      <c r="T115" s="79" t="s">
        <v>178</v>
      </c>
      <c r="U115" s="79" t="s">
        <v>179</v>
      </c>
      <c r="V115" s="81">
        <v>56.73</v>
      </c>
      <c r="W115" s="81">
        <v>-118.33</v>
      </c>
      <c r="X115" s="84"/>
      <c r="Y115" s="85" t="s">
        <v>1897</v>
      </c>
      <c r="Z115" s="66" t="s">
        <v>2203</v>
      </c>
      <c r="AA115" s="97" t="s">
        <v>49</v>
      </c>
      <c r="AB115" s="82" t="s">
        <v>64</v>
      </c>
      <c r="AC115" s="82" t="s">
        <v>64</v>
      </c>
      <c r="AD115" s="82" t="s">
        <v>64</v>
      </c>
      <c r="AF115" s="82" t="s">
        <v>64</v>
      </c>
      <c r="AG115" s="82" t="s">
        <v>91</v>
      </c>
      <c r="AH115" s="82" t="s">
        <v>107</v>
      </c>
      <c r="AI115" s="82" t="s">
        <v>276</v>
      </c>
      <c r="AJ115" s="86">
        <v>1</v>
      </c>
      <c r="AK115" s="86" t="s">
        <v>85</v>
      </c>
      <c r="AL115" s="86" t="s">
        <v>85</v>
      </c>
      <c r="AM115" s="84" t="s">
        <v>64</v>
      </c>
      <c r="AN115" s="84" t="s">
        <v>529</v>
      </c>
      <c r="AO115" s="84" t="s">
        <v>1114</v>
      </c>
      <c r="AP115" s="68" t="s">
        <v>2227</v>
      </c>
      <c r="AQ115" s="82" t="s">
        <v>180</v>
      </c>
      <c r="AR115" s="86">
        <v>3</v>
      </c>
      <c r="AS115" s="86">
        <v>5</v>
      </c>
      <c r="AT115" s="86"/>
      <c r="AU115" s="86"/>
      <c r="AV115" s="88">
        <v>1</v>
      </c>
      <c r="AW115" s="63" t="s">
        <v>1620</v>
      </c>
      <c r="AX115" s="82" t="s">
        <v>80</v>
      </c>
      <c r="AY115" s="86">
        <v>1</v>
      </c>
      <c r="AZ115" s="86" t="s">
        <v>181</v>
      </c>
      <c r="BA115" s="86">
        <v>5</v>
      </c>
      <c r="BB115" s="86"/>
      <c r="BD115" s="83" t="s">
        <v>391</v>
      </c>
      <c r="BE115" s="82" t="s">
        <v>390</v>
      </c>
      <c r="BF115" s="83" t="s">
        <v>115</v>
      </c>
      <c r="BG115" s="82" t="s">
        <v>21</v>
      </c>
      <c r="BH115" s="82" t="s">
        <v>81</v>
      </c>
      <c r="BI115" s="84" t="s">
        <v>183</v>
      </c>
      <c r="BJ115" s="89">
        <f t="shared" si="95"/>
        <v>1</v>
      </c>
      <c r="BK115" s="84" t="s">
        <v>185</v>
      </c>
      <c r="BL115" s="84" t="s">
        <v>185</v>
      </c>
      <c r="BM115" s="88">
        <v>1</v>
      </c>
      <c r="BN115" s="82" t="s">
        <v>379</v>
      </c>
      <c r="BO115" s="82" t="s">
        <v>184</v>
      </c>
      <c r="BP115" s="82" t="s">
        <v>229</v>
      </c>
      <c r="BR115" s="82" t="s">
        <v>230</v>
      </c>
      <c r="BS115" s="82" t="s">
        <v>2164</v>
      </c>
      <c r="BT115" s="82" t="s">
        <v>572</v>
      </c>
      <c r="BU115" s="86">
        <v>2.34</v>
      </c>
      <c r="BV115" s="86">
        <v>0.35</v>
      </c>
      <c r="BW115" s="90">
        <v>1.355544171172596</v>
      </c>
      <c r="BX115" s="86">
        <v>3</v>
      </c>
      <c r="BY115" s="86">
        <v>3</v>
      </c>
      <c r="BZ115" s="82" t="s">
        <v>186</v>
      </c>
      <c r="CA115" s="82" t="s">
        <v>1616</v>
      </c>
      <c r="CB115" s="82" t="s">
        <v>80</v>
      </c>
      <c r="CC115" s="86">
        <v>11.36</v>
      </c>
      <c r="CD115" s="86">
        <v>0.88</v>
      </c>
      <c r="CE115" s="90">
        <v>3.4082253446625268</v>
      </c>
      <c r="CF115" s="86">
        <v>3</v>
      </c>
      <c r="CG115" s="86">
        <v>3</v>
      </c>
      <c r="CH115" s="82" t="s">
        <v>186</v>
      </c>
      <c r="CI115" s="79" t="s">
        <v>423</v>
      </c>
      <c r="CK115" s="86"/>
      <c r="CL115" s="86"/>
      <c r="CM115" s="86"/>
      <c r="CN115" s="86"/>
      <c r="CO115" s="86"/>
      <c r="CS115" s="86"/>
      <c r="CT115" s="86"/>
      <c r="CU115" s="86"/>
      <c r="CV115" s="86"/>
      <c r="CW115" s="86"/>
      <c r="DP115" s="116"/>
      <c r="DY115" s="86"/>
      <c r="DZ115" s="86"/>
      <c r="EA115" s="86"/>
      <c r="EB115" s="86"/>
      <c r="EC115" s="86"/>
      <c r="EG115" s="86"/>
      <c r="EH115" s="86"/>
      <c r="EI115" s="86"/>
      <c r="EJ115" s="86"/>
      <c r="EK115" s="86"/>
      <c r="EN115" s="86">
        <f>BU115</f>
        <v>2.34</v>
      </c>
      <c r="EO115" s="90">
        <f t="shared" ref="EO115:EQ119" si="125">BW115</f>
        <v>1.355544171172596</v>
      </c>
      <c r="EP115" s="86">
        <f t="shared" si="125"/>
        <v>3</v>
      </c>
      <c r="EQ115" s="86">
        <f t="shared" si="125"/>
        <v>3</v>
      </c>
      <c r="ER115" s="86">
        <f>CC115</f>
        <v>11.36</v>
      </c>
      <c r="ES115" s="90">
        <f t="shared" ref="ES115:EU119" si="126">CE115</f>
        <v>3.4082253446625268</v>
      </c>
      <c r="ET115" s="86">
        <f t="shared" si="126"/>
        <v>3</v>
      </c>
      <c r="EU115" s="86">
        <f t="shared" si="126"/>
        <v>3</v>
      </c>
      <c r="EV115" s="86">
        <f t="shared" ref="EV115:EV147" si="127">SQRT((((EP115-1)*EO115^2)+((ET115-1)*ES115^2))/((EP115+ET115)-2))</f>
        <v>2.5935978871058638</v>
      </c>
      <c r="EW115" s="86">
        <f t="shared" ref="EW115:EW147" si="128">(EN115-ER115)/EV115</f>
        <v>-3.4777943199457222</v>
      </c>
      <c r="EX115" s="86">
        <f t="shared" ref="EX115:EX147" si="129">((EQ115+EU115)/(EQ115*EU115))+((EW115^2)/(2*(EP115+ET115)))</f>
        <v>1.674587777653894</v>
      </c>
      <c r="EY115" s="86">
        <f t="shared" ref="EY115:EY147" si="130">1-(3/((4*(EP115+ET115-2))-1))</f>
        <v>0.8</v>
      </c>
      <c r="EZ115" s="83">
        <f t="shared" ref="EZ115:EZ147" si="131">EY115*EW115</f>
        <v>-2.7822354559565778</v>
      </c>
      <c r="FA115" s="83">
        <f t="shared" ref="FA115:FA147" si="132">(EY115^2)*EX115</f>
        <v>1.0717361776984924</v>
      </c>
      <c r="FB115" s="83">
        <f t="shared" ref="FB115:FB147" si="133">EQ115+EU115</f>
        <v>6</v>
      </c>
      <c r="FC115" s="82" t="s">
        <v>125</v>
      </c>
    </row>
    <row r="116" spans="1:159" s="82" customFormat="1" ht="17.100000000000001" customHeight="1">
      <c r="A116" s="78" t="s">
        <v>1787</v>
      </c>
      <c r="B116" s="79" t="s">
        <v>1592</v>
      </c>
      <c r="C116" s="80" t="str">
        <f t="shared" si="71"/>
        <v>Lazaruk, L. W., Kernaghan, G., Macdonald, S. E., &amp; Khasa, D.  2005.  Effects of partial cutting on the ectomycorrhizae of Picea glauca forests in northwestern Alberta. Canadian Journal of Forest Research. 35: 1442-1454.</v>
      </c>
      <c r="D116" s="79" t="s">
        <v>1459</v>
      </c>
      <c r="E116" s="81">
        <v>2005</v>
      </c>
      <c r="F116" s="79" t="s">
        <v>2333</v>
      </c>
      <c r="G116" s="79" t="s">
        <v>173</v>
      </c>
      <c r="H116" s="81">
        <v>35</v>
      </c>
      <c r="I116" s="81" t="s">
        <v>174</v>
      </c>
      <c r="K116" s="79" t="s">
        <v>175</v>
      </c>
      <c r="L116" s="82" t="s">
        <v>101</v>
      </c>
      <c r="M116" s="83" t="s">
        <v>73</v>
      </c>
      <c r="N116" s="82" t="s">
        <v>389</v>
      </c>
      <c r="P116" s="81" t="s">
        <v>154</v>
      </c>
      <c r="Q116" s="79" t="s">
        <v>155</v>
      </c>
      <c r="R116" s="79" t="s">
        <v>176</v>
      </c>
      <c r="S116" s="79" t="s">
        <v>177</v>
      </c>
      <c r="T116" s="79" t="s">
        <v>178</v>
      </c>
      <c r="U116" s="79" t="s">
        <v>179</v>
      </c>
      <c r="V116" s="81">
        <v>56.73</v>
      </c>
      <c r="W116" s="81">
        <v>-118.33</v>
      </c>
      <c r="X116" s="84"/>
      <c r="Y116" s="85" t="s">
        <v>1897</v>
      </c>
      <c r="Z116" s="66" t="s">
        <v>2203</v>
      </c>
      <c r="AA116" s="97" t="s">
        <v>49</v>
      </c>
      <c r="AB116" s="82" t="s">
        <v>64</v>
      </c>
      <c r="AC116" s="82" t="s">
        <v>64</v>
      </c>
      <c r="AD116" s="82" t="s">
        <v>64</v>
      </c>
      <c r="AF116" s="82" t="s">
        <v>64</v>
      </c>
      <c r="AG116" s="82" t="s">
        <v>91</v>
      </c>
      <c r="AH116" s="82" t="s">
        <v>156</v>
      </c>
      <c r="AI116" s="82" t="s">
        <v>276</v>
      </c>
      <c r="AJ116" s="86">
        <v>1</v>
      </c>
      <c r="AK116" s="86" t="s">
        <v>85</v>
      </c>
      <c r="AL116" s="86" t="s">
        <v>85</v>
      </c>
      <c r="AM116" s="84" t="s">
        <v>64</v>
      </c>
      <c r="AN116" s="84" t="s">
        <v>529</v>
      </c>
      <c r="AO116" s="84" t="s">
        <v>1114</v>
      </c>
      <c r="AP116" s="68" t="s">
        <v>2227</v>
      </c>
      <c r="AQ116" s="82" t="s">
        <v>180</v>
      </c>
      <c r="AR116" s="86">
        <v>3</v>
      </c>
      <c r="AS116" s="86">
        <v>5</v>
      </c>
      <c r="AT116" s="86"/>
      <c r="AU116" s="86"/>
      <c r="AV116" s="88">
        <v>1</v>
      </c>
      <c r="AW116" s="63" t="s">
        <v>1620</v>
      </c>
      <c r="AX116" s="82" t="s">
        <v>80</v>
      </c>
      <c r="AY116" s="86">
        <v>1</v>
      </c>
      <c r="AZ116" s="86" t="s">
        <v>181</v>
      </c>
      <c r="BA116" s="86" t="s">
        <v>207</v>
      </c>
      <c r="BB116" s="86"/>
      <c r="BD116" s="83" t="s">
        <v>393</v>
      </c>
      <c r="BE116" s="82" t="s">
        <v>157</v>
      </c>
      <c r="BF116" s="83" t="s">
        <v>115</v>
      </c>
      <c r="BG116" s="82" t="s">
        <v>21</v>
      </c>
      <c r="BH116" s="82" t="s">
        <v>81</v>
      </c>
      <c r="BI116" s="84" t="s">
        <v>183</v>
      </c>
      <c r="BJ116" s="89">
        <f t="shared" si="95"/>
        <v>1</v>
      </c>
      <c r="BK116" s="84" t="s">
        <v>185</v>
      </c>
      <c r="BL116" s="84" t="s">
        <v>185</v>
      </c>
      <c r="BM116" s="88">
        <v>1</v>
      </c>
      <c r="BN116" s="82" t="s">
        <v>379</v>
      </c>
      <c r="BO116" s="82" t="s">
        <v>184</v>
      </c>
      <c r="BP116" s="82" t="s">
        <v>229</v>
      </c>
      <c r="BQ116" s="82" t="s">
        <v>579</v>
      </c>
      <c r="BR116" s="82" t="s">
        <v>230</v>
      </c>
      <c r="BS116" s="82" t="s">
        <v>2164</v>
      </c>
      <c r="BT116" s="82" t="s">
        <v>572</v>
      </c>
      <c r="BU116" s="86">
        <v>0.14000000000000001</v>
      </c>
      <c r="BV116" s="86">
        <v>0.15</v>
      </c>
      <c r="BW116" s="90">
        <v>0.58094750193111255</v>
      </c>
      <c r="BX116" s="86">
        <v>3</v>
      </c>
      <c r="BY116" s="86">
        <v>3</v>
      </c>
      <c r="BZ116" s="82" t="s">
        <v>186</v>
      </c>
      <c r="CA116" s="82" t="s">
        <v>1616</v>
      </c>
      <c r="CB116" s="82" t="s">
        <v>80</v>
      </c>
      <c r="CC116" s="86">
        <v>1.75</v>
      </c>
      <c r="CD116" s="86">
        <v>0.16</v>
      </c>
      <c r="CE116" s="90">
        <v>0.6196773353931867</v>
      </c>
      <c r="CF116" s="86">
        <v>3</v>
      </c>
      <c r="CG116" s="86">
        <v>3</v>
      </c>
      <c r="CH116" s="82" t="s">
        <v>186</v>
      </c>
      <c r="CI116" s="79" t="s">
        <v>423</v>
      </c>
      <c r="CK116" s="86"/>
      <c r="CL116" s="86"/>
      <c r="CM116" s="86"/>
      <c r="CN116" s="86"/>
      <c r="CO116" s="86"/>
      <c r="CS116" s="86"/>
      <c r="CT116" s="86"/>
      <c r="CU116" s="86"/>
      <c r="CV116" s="86"/>
      <c r="CW116" s="86"/>
      <c r="DP116" s="175"/>
      <c r="DY116" s="86"/>
      <c r="DZ116" s="86"/>
      <c r="EA116" s="86"/>
      <c r="EB116" s="86"/>
      <c r="EC116" s="86"/>
      <c r="EG116" s="86"/>
      <c r="EH116" s="86"/>
      <c r="EI116" s="86"/>
      <c r="EJ116" s="86"/>
      <c r="EK116" s="86"/>
      <c r="EN116" s="86">
        <f>BU116</f>
        <v>0.14000000000000001</v>
      </c>
      <c r="EO116" s="90">
        <f t="shared" si="125"/>
        <v>0.58094750193111255</v>
      </c>
      <c r="EP116" s="86">
        <f t="shared" si="125"/>
        <v>3</v>
      </c>
      <c r="EQ116" s="86">
        <f t="shared" si="125"/>
        <v>3</v>
      </c>
      <c r="ER116" s="86">
        <f>CC116</f>
        <v>1.75</v>
      </c>
      <c r="ES116" s="90">
        <f t="shared" si="126"/>
        <v>0.6196773353931867</v>
      </c>
      <c r="ET116" s="86">
        <f t="shared" si="126"/>
        <v>3</v>
      </c>
      <c r="EU116" s="86">
        <f t="shared" si="126"/>
        <v>3</v>
      </c>
      <c r="EV116" s="86">
        <f t="shared" si="127"/>
        <v>0.60062467481781001</v>
      </c>
      <c r="EW116" s="86">
        <f t="shared" si="128"/>
        <v>-2.6805425542804544</v>
      </c>
      <c r="EX116" s="86">
        <f t="shared" si="129"/>
        <v>1.2654423654423652</v>
      </c>
      <c r="EY116" s="86">
        <f t="shared" si="130"/>
        <v>0.8</v>
      </c>
      <c r="EZ116" s="83">
        <f t="shared" si="131"/>
        <v>-2.1444340434243636</v>
      </c>
      <c r="FA116" s="83">
        <f t="shared" si="132"/>
        <v>0.80988311388311385</v>
      </c>
      <c r="FB116" s="83">
        <f t="shared" si="133"/>
        <v>6</v>
      </c>
      <c r="FC116" s="82" t="s">
        <v>125</v>
      </c>
    </row>
    <row r="117" spans="1:159" s="82" customFormat="1" ht="17.100000000000001" customHeight="1">
      <c r="A117" s="78" t="s">
        <v>1835</v>
      </c>
      <c r="B117" s="96" t="s">
        <v>1426</v>
      </c>
      <c r="C117" s="80" t="str">
        <f t="shared" si="71"/>
        <v>Lettow, M. C., Brudvig, L. A., Bahlai, C. A., &amp; Landis, D. A. 2014.  Oak savanna management strategies and their differential effects on vegetative structure, understory light, and flowering forbs. Forest Ecology and Management. 329: 89-98.</v>
      </c>
      <c r="D117" s="91" t="s">
        <v>1503</v>
      </c>
      <c r="E117" s="91">
        <v>2014</v>
      </c>
      <c r="F117" s="96" t="s">
        <v>967</v>
      </c>
      <c r="G117" s="96" t="s">
        <v>20</v>
      </c>
      <c r="H117" s="91">
        <v>329</v>
      </c>
      <c r="I117" s="92" t="s">
        <v>968</v>
      </c>
      <c r="J117" s="79"/>
      <c r="K117" s="96" t="s">
        <v>969</v>
      </c>
      <c r="L117" s="82" t="s">
        <v>101</v>
      </c>
      <c r="M117" s="83" t="s">
        <v>73</v>
      </c>
      <c r="N117" s="82" t="s">
        <v>389</v>
      </c>
      <c r="P117" s="91" t="s">
        <v>16</v>
      </c>
      <c r="Q117" s="96" t="s">
        <v>373</v>
      </c>
      <c r="R117" s="96" t="s">
        <v>970</v>
      </c>
      <c r="S117" s="96"/>
      <c r="T117" s="96" t="s">
        <v>971</v>
      </c>
      <c r="U117" s="96" t="s">
        <v>972</v>
      </c>
      <c r="V117" s="91">
        <v>42.13</v>
      </c>
      <c r="W117" s="91">
        <v>-84.39</v>
      </c>
      <c r="X117" s="81"/>
      <c r="Y117" s="99" t="s">
        <v>1897</v>
      </c>
      <c r="Z117" s="66" t="s">
        <v>2203</v>
      </c>
      <c r="AA117" s="97" t="s">
        <v>555</v>
      </c>
      <c r="AB117" s="79" t="s">
        <v>103</v>
      </c>
      <c r="AC117" s="82" t="s">
        <v>137</v>
      </c>
      <c r="AF117" s="82" t="s">
        <v>86</v>
      </c>
      <c r="AG117" s="82" t="s">
        <v>91</v>
      </c>
      <c r="AH117" s="82" t="s">
        <v>106</v>
      </c>
      <c r="AI117" s="82" t="s">
        <v>93</v>
      </c>
      <c r="AJ117" s="86">
        <v>5</v>
      </c>
      <c r="AK117" s="86">
        <v>1</v>
      </c>
      <c r="AL117" s="86">
        <v>1</v>
      </c>
      <c r="AM117" s="84" t="s">
        <v>973</v>
      </c>
      <c r="AN117" s="84" t="s">
        <v>521</v>
      </c>
      <c r="AO117" s="84" t="s">
        <v>526</v>
      </c>
      <c r="AP117" s="68" t="s">
        <v>2227</v>
      </c>
      <c r="AQ117" s="82" t="s">
        <v>94</v>
      </c>
      <c r="AR117" s="86">
        <v>1</v>
      </c>
      <c r="AS117" s="86">
        <v>2</v>
      </c>
      <c r="AT117" s="86"/>
      <c r="AU117" s="87"/>
      <c r="AV117" s="88">
        <v>0.8</v>
      </c>
      <c r="AX117" s="82" t="s">
        <v>80</v>
      </c>
      <c r="AY117" s="86">
        <v>5</v>
      </c>
      <c r="AZ117" s="86">
        <v>1</v>
      </c>
      <c r="BA117" s="86">
        <v>2</v>
      </c>
      <c r="BB117" s="86"/>
      <c r="BD117" s="83" t="s">
        <v>124</v>
      </c>
      <c r="BE117" s="82" t="s">
        <v>182</v>
      </c>
      <c r="BF117" s="83" t="s">
        <v>386</v>
      </c>
      <c r="BG117" s="82" t="s">
        <v>21</v>
      </c>
      <c r="BH117" s="82" t="s">
        <v>81</v>
      </c>
      <c r="BI117" s="84" t="s">
        <v>974</v>
      </c>
      <c r="BJ117" s="89">
        <f t="shared" si="95"/>
        <v>1.25</v>
      </c>
      <c r="BK117" s="84">
        <v>15</v>
      </c>
      <c r="BL117" s="84">
        <v>15</v>
      </c>
      <c r="BM117" s="88">
        <v>1.25</v>
      </c>
      <c r="BN117" s="82" t="s">
        <v>389</v>
      </c>
      <c r="BO117" s="82" t="s">
        <v>975</v>
      </c>
      <c r="BP117" s="82" t="s">
        <v>64</v>
      </c>
      <c r="BR117" s="82" t="s">
        <v>976</v>
      </c>
      <c r="BS117" s="82" t="s">
        <v>2147</v>
      </c>
      <c r="BT117" s="82" t="s">
        <v>572</v>
      </c>
      <c r="BU117" s="86">
        <v>2.31</v>
      </c>
      <c r="BV117" s="86">
        <v>0.52</v>
      </c>
      <c r="BW117" s="90">
        <v>1.6443843832875573</v>
      </c>
      <c r="BX117" s="86">
        <v>10</v>
      </c>
      <c r="BY117" s="86">
        <v>5</v>
      </c>
      <c r="BZ117" s="82" t="s">
        <v>977</v>
      </c>
      <c r="CA117" s="82" t="s">
        <v>1357</v>
      </c>
      <c r="CB117" s="82" t="s">
        <v>80</v>
      </c>
      <c r="CC117" s="86">
        <v>0.97</v>
      </c>
      <c r="CD117" s="86">
        <v>0.4</v>
      </c>
      <c r="CE117" s="90">
        <v>1.2649110640000001</v>
      </c>
      <c r="CF117" s="86">
        <v>10</v>
      </c>
      <c r="CG117" s="86">
        <v>5</v>
      </c>
      <c r="CH117" s="82" t="s">
        <v>977</v>
      </c>
      <c r="CI117" s="82" t="s">
        <v>1357</v>
      </c>
      <c r="CK117" s="86"/>
      <c r="CL117" s="86"/>
      <c r="CM117" s="86"/>
      <c r="CN117" s="86"/>
      <c r="CO117" s="86"/>
      <c r="CS117" s="86"/>
      <c r="CT117" s="86"/>
      <c r="CU117" s="86"/>
      <c r="CV117" s="86"/>
      <c r="CW117" s="86"/>
      <c r="DP117" s="175"/>
      <c r="DQ117" s="79"/>
      <c r="DR117" s="79"/>
      <c r="DY117" s="86"/>
      <c r="DZ117" s="86"/>
      <c r="EA117" s="86"/>
      <c r="EB117" s="86"/>
      <c r="EC117" s="86"/>
      <c r="EG117" s="86"/>
      <c r="EH117" s="86"/>
      <c r="EI117" s="86"/>
      <c r="EJ117" s="86"/>
      <c r="EK117" s="86"/>
      <c r="EN117" s="86">
        <f>BU117</f>
        <v>2.31</v>
      </c>
      <c r="EO117" s="90">
        <f t="shared" si="125"/>
        <v>1.6443843832875573</v>
      </c>
      <c r="EP117" s="86">
        <f t="shared" si="125"/>
        <v>10</v>
      </c>
      <c r="EQ117" s="86">
        <f t="shared" si="125"/>
        <v>5</v>
      </c>
      <c r="ER117" s="86">
        <f>CC117</f>
        <v>0.97</v>
      </c>
      <c r="ES117" s="90">
        <f t="shared" si="126"/>
        <v>1.2649110640000001</v>
      </c>
      <c r="ET117" s="86">
        <f t="shared" si="126"/>
        <v>10</v>
      </c>
      <c r="EU117" s="86">
        <f t="shared" si="126"/>
        <v>5</v>
      </c>
      <c r="EV117" s="86">
        <f t="shared" si="127"/>
        <v>1.4669696656423425</v>
      </c>
      <c r="EW117" s="86">
        <f t="shared" si="128"/>
        <v>0.91344765429301078</v>
      </c>
      <c r="EX117" s="86">
        <f t="shared" si="129"/>
        <v>0.42085966542833514</v>
      </c>
      <c r="EY117" s="86">
        <f t="shared" si="130"/>
        <v>0.95774647887323949</v>
      </c>
      <c r="EZ117" s="83">
        <f t="shared" si="131"/>
        <v>0.87485127453415124</v>
      </c>
      <c r="FA117" s="83">
        <f t="shared" si="132"/>
        <v>0.38604544593148615</v>
      </c>
      <c r="FB117" s="83">
        <f t="shared" si="133"/>
        <v>10</v>
      </c>
      <c r="FC117" s="63" t="s">
        <v>385</v>
      </c>
    </row>
    <row r="118" spans="1:159" s="82" customFormat="1" ht="17.100000000000001" customHeight="1">
      <c r="A118" s="78" t="s">
        <v>1837</v>
      </c>
      <c r="B118" s="96" t="s">
        <v>288</v>
      </c>
      <c r="C118" s="80" t="str">
        <f t="shared" si="71"/>
        <v>Lombardo, J. A., &amp; McCarthy, B. C.  2008.  Forest management and curculionid weevil diversity in mixed oak forests of southeastern Ohio. Natural Areas Journal. 28: 363-369.</v>
      </c>
      <c r="D118" s="91" t="s">
        <v>1506</v>
      </c>
      <c r="E118" s="91">
        <v>2008</v>
      </c>
      <c r="F118" s="96" t="s">
        <v>997</v>
      </c>
      <c r="G118" s="96" t="s">
        <v>659</v>
      </c>
      <c r="H118" s="91">
        <v>28</v>
      </c>
      <c r="I118" s="92" t="s">
        <v>998</v>
      </c>
      <c r="J118" s="79"/>
      <c r="K118" s="96" t="s">
        <v>999</v>
      </c>
      <c r="L118" s="82" t="s">
        <v>101</v>
      </c>
      <c r="M118" s="83" t="s">
        <v>73</v>
      </c>
      <c r="N118" s="82" t="s">
        <v>389</v>
      </c>
      <c r="P118" s="91" t="s">
        <v>16</v>
      </c>
      <c r="Q118" s="96" t="s">
        <v>677</v>
      </c>
      <c r="R118" s="96" t="s">
        <v>1000</v>
      </c>
      <c r="S118" s="96" t="s">
        <v>1562</v>
      </c>
      <c r="T118" s="96" t="s">
        <v>2334</v>
      </c>
      <c r="U118" s="96" t="s">
        <v>2335</v>
      </c>
      <c r="V118" s="91">
        <v>39.28</v>
      </c>
      <c r="W118" s="91">
        <v>-82.38</v>
      </c>
      <c r="X118" s="81"/>
      <c r="Y118" s="99" t="s">
        <v>1896</v>
      </c>
      <c r="Z118" s="66" t="s">
        <v>2203</v>
      </c>
      <c r="AA118" s="97" t="s">
        <v>555</v>
      </c>
      <c r="AB118" s="79" t="s">
        <v>64</v>
      </c>
      <c r="AC118" s="82" t="s">
        <v>235</v>
      </c>
      <c r="AF118" s="82" t="s">
        <v>64</v>
      </c>
      <c r="AG118" s="82" t="s">
        <v>92</v>
      </c>
      <c r="AH118" s="82" t="s">
        <v>106</v>
      </c>
      <c r="AI118" s="82" t="s">
        <v>93</v>
      </c>
      <c r="AJ118" s="86">
        <v>2</v>
      </c>
      <c r="AK118" s="86">
        <v>2</v>
      </c>
      <c r="AL118" s="86">
        <v>2</v>
      </c>
      <c r="AM118" s="84" t="s">
        <v>1001</v>
      </c>
      <c r="AN118" s="84" t="s">
        <v>526</v>
      </c>
      <c r="AO118" s="84" t="s">
        <v>526</v>
      </c>
      <c r="AP118" s="68" t="s">
        <v>2227</v>
      </c>
      <c r="AQ118" s="82" t="s">
        <v>94</v>
      </c>
      <c r="AR118" s="86">
        <v>1</v>
      </c>
      <c r="AS118" s="86">
        <v>6</v>
      </c>
      <c r="AT118" s="86"/>
      <c r="AU118" s="87" t="s">
        <v>193</v>
      </c>
      <c r="AV118" s="88">
        <v>2</v>
      </c>
      <c r="AX118" s="82" t="s">
        <v>80</v>
      </c>
      <c r="AY118" s="86">
        <v>2</v>
      </c>
      <c r="AZ118" s="86">
        <v>1</v>
      </c>
      <c r="BA118" s="86">
        <v>6</v>
      </c>
      <c r="BB118" s="86"/>
      <c r="BD118" s="83" t="s">
        <v>124</v>
      </c>
      <c r="BE118" s="82" t="s">
        <v>182</v>
      </c>
      <c r="BF118" s="83" t="s">
        <v>2069</v>
      </c>
      <c r="BG118" s="82" t="s">
        <v>21</v>
      </c>
      <c r="BH118" s="82" t="s">
        <v>22</v>
      </c>
      <c r="BI118" s="84" t="s">
        <v>64</v>
      </c>
      <c r="BJ118" s="89">
        <f t="shared" si="95"/>
        <v>4.083333333333333</v>
      </c>
      <c r="BK118" s="84">
        <v>49</v>
      </c>
      <c r="BL118" s="84">
        <v>3</v>
      </c>
      <c r="BM118" s="88">
        <v>0.25</v>
      </c>
      <c r="BN118" s="82" t="s">
        <v>379</v>
      </c>
      <c r="BO118" s="82" t="s">
        <v>1002</v>
      </c>
      <c r="BP118" s="82" t="s">
        <v>64</v>
      </c>
      <c r="BR118" s="175" t="s">
        <v>1003</v>
      </c>
      <c r="BS118" s="82" t="s">
        <v>2163</v>
      </c>
      <c r="BT118" s="82" t="s">
        <v>573</v>
      </c>
      <c r="BU118" s="90">
        <v>12.5</v>
      </c>
      <c r="BV118" s="90">
        <v>2.12</v>
      </c>
      <c r="BW118" s="90">
        <v>2.12</v>
      </c>
      <c r="BX118" s="86">
        <v>2</v>
      </c>
      <c r="BY118" s="86">
        <v>2</v>
      </c>
      <c r="BZ118" s="82" t="s">
        <v>159</v>
      </c>
      <c r="CA118" s="82" t="s">
        <v>1004</v>
      </c>
      <c r="CB118" s="82" t="s">
        <v>80</v>
      </c>
      <c r="CC118" s="90">
        <v>8</v>
      </c>
      <c r="CD118" s="90">
        <v>1.41</v>
      </c>
      <c r="CE118" s="90">
        <v>1.41</v>
      </c>
      <c r="CF118" s="86">
        <v>2</v>
      </c>
      <c r="CG118" s="86">
        <v>2</v>
      </c>
      <c r="CH118" s="82" t="s">
        <v>159</v>
      </c>
      <c r="CI118" s="82" t="s">
        <v>1004</v>
      </c>
      <c r="CK118" s="86"/>
      <c r="CL118" s="86"/>
      <c r="CM118" s="86"/>
      <c r="CN118" s="86"/>
      <c r="CO118" s="86"/>
      <c r="CS118" s="86"/>
      <c r="CT118" s="86"/>
      <c r="CU118" s="86"/>
      <c r="CV118" s="86"/>
      <c r="CW118" s="86"/>
      <c r="DP118" s="175"/>
      <c r="DQ118" s="79"/>
      <c r="DR118" s="79"/>
      <c r="DY118" s="86"/>
      <c r="DZ118" s="86"/>
      <c r="EA118" s="86"/>
      <c r="EB118" s="86"/>
      <c r="EC118" s="86"/>
      <c r="EG118" s="86"/>
      <c r="EH118" s="86"/>
      <c r="EI118" s="86"/>
      <c r="EJ118" s="86"/>
      <c r="EK118" s="86"/>
      <c r="EN118" s="86">
        <f>BU118</f>
        <v>12.5</v>
      </c>
      <c r="EO118" s="90">
        <f t="shared" si="125"/>
        <v>2.12</v>
      </c>
      <c r="EP118" s="86">
        <f t="shared" si="125"/>
        <v>2</v>
      </c>
      <c r="EQ118" s="86">
        <f t="shared" si="125"/>
        <v>2</v>
      </c>
      <c r="ER118" s="86">
        <f>CC118</f>
        <v>8</v>
      </c>
      <c r="ES118" s="90">
        <f t="shared" si="126"/>
        <v>1.41</v>
      </c>
      <c r="ET118" s="86">
        <f t="shared" si="126"/>
        <v>2</v>
      </c>
      <c r="EU118" s="86">
        <f t="shared" si="126"/>
        <v>2</v>
      </c>
      <c r="EV118" s="86">
        <f t="shared" si="127"/>
        <v>1.8003471887388831</v>
      </c>
      <c r="EW118" s="86">
        <f t="shared" si="128"/>
        <v>2.4995178864095564</v>
      </c>
      <c r="EX118" s="86">
        <f t="shared" si="129"/>
        <v>1.780948708060162</v>
      </c>
      <c r="EY118" s="86">
        <f t="shared" si="130"/>
        <v>0.5714285714285714</v>
      </c>
      <c r="EZ118" s="83">
        <f t="shared" si="131"/>
        <v>1.428295935091175</v>
      </c>
      <c r="FA118" s="83">
        <f t="shared" si="132"/>
        <v>0.58153427201964469</v>
      </c>
      <c r="FB118" s="83">
        <f t="shared" si="133"/>
        <v>4</v>
      </c>
      <c r="FC118" s="63" t="s">
        <v>385</v>
      </c>
    </row>
    <row r="119" spans="1:159" s="82" customFormat="1" ht="17.100000000000001" customHeight="1">
      <c r="A119" s="78" t="s">
        <v>1837</v>
      </c>
      <c r="B119" s="96" t="s">
        <v>288</v>
      </c>
      <c r="C119" s="80" t="str">
        <f t="shared" si="71"/>
        <v>Lombardo, J. A., &amp; McCarthy, B. C.  2008.  Forest management and curculionid weevil diversity in mixed oak forests of southeastern Ohio. Natural Areas Journal. 28: 363-369.</v>
      </c>
      <c r="D119" s="91" t="s">
        <v>1506</v>
      </c>
      <c r="E119" s="91">
        <v>2008</v>
      </c>
      <c r="F119" s="96" t="s">
        <v>997</v>
      </c>
      <c r="G119" s="96" t="s">
        <v>659</v>
      </c>
      <c r="H119" s="91">
        <v>28</v>
      </c>
      <c r="I119" s="92" t="s">
        <v>998</v>
      </c>
      <c r="J119" s="79"/>
      <c r="K119" s="96" t="s">
        <v>999</v>
      </c>
      <c r="L119" s="82" t="s">
        <v>101</v>
      </c>
      <c r="M119" s="83" t="s">
        <v>73</v>
      </c>
      <c r="N119" s="82" t="s">
        <v>389</v>
      </c>
      <c r="P119" s="91" t="s">
        <v>16</v>
      </c>
      <c r="Q119" s="96" t="s">
        <v>677</v>
      </c>
      <c r="R119" s="96" t="s">
        <v>1000</v>
      </c>
      <c r="S119" s="96" t="s">
        <v>1562</v>
      </c>
      <c r="T119" s="96" t="s">
        <v>2334</v>
      </c>
      <c r="U119" s="96" t="s">
        <v>2335</v>
      </c>
      <c r="V119" s="91">
        <v>39.28</v>
      </c>
      <c r="W119" s="91">
        <v>-82.38</v>
      </c>
      <c r="X119" s="81"/>
      <c r="Y119" s="99" t="s">
        <v>1896</v>
      </c>
      <c r="Z119" s="66" t="s">
        <v>2203</v>
      </c>
      <c r="AA119" s="97" t="s">
        <v>555</v>
      </c>
      <c r="AB119" s="79" t="s">
        <v>64</v>
      </c>
      <c r="AC119" s="82" t="s">
        <v>235</v>
      </c>
      <c r="AF119" s="82" t="s">
        <v>64</v>
      </c>
      <c r="AG119" s="82" t="s">
        <v>92</v>
      </c>
      <c r="AH119" s="82" t="s">
        <v>106</v>
      </c>
      <c r="AI119" s="82" t="s">
        <v>93</v>
      </c>
      <c r="AJ119" s="86">
        <v>2</v>
      </c>
      <c r="AK119" s="86">
        <v>2</v>
      </c>
      <c r="AL119" s="86">
        <v>2</v>
      </c>
      <c r="AM119" s="84" t="s">
        <v>1001</v>
      </c>
      <c r="AN119" s="84" t="s">
        <v>526</v>
      </c>
      <c r="AO119" s="84" t="s">
        <v>526</v>
      </c>
      <c r="AP119" s="68" t="s">
        <v>2227</v>
      </c>
      <c r="AQ119" s="82" t="s">
        <v>94</v>
      </c>
      <c r="AR119" s="86">
        <v>1</v>
      </c>
      <c r="AS119" s="86">
        <v>6</v>
      </c>
      <c r="AT119" s="86"/>
      <c r="AU119" s="87" t="s">
        <v>193</v>
      </c>
      <c r="AV119" s="88">
        <v>2</v>
      </c>
      <c r="AX119" s="82" t="s">
        <v>80</v>
      </c>
      <c r="AY119" s="86">
        <v>2</v>
      </c>
      <c r="AZ119" s="86">
        <v>1</v>
      </c>
      <c r="BA119" s="86">
        <v>6</v>
      </c>
      <c r="BB119" s="86"/>
      <c r="BD119" s="83" t="s">
        <v>122</v>
      </c>
      <c r="BE119" s="82" t="s">
        <v>157</v>
      </c>
      <c r="BF119" s="83" t="s">
        <v>2069</v>
      </c>
      <c r="BG119" s="82" t="s">
        <v>21</v>
      </c>
      <c r="BH119" s="82" t="s">
        <v>22</v>
      </c>
      <c r="BI119" s="84" t="s">
        <v>64</v>
      </c>
      <c r="BJ119" s="89">
        <f t="shared" si="95"/>
        <v>4.083333333333333</v>
      </c>
      <c r="BK119" s="84">
        <v>49</v>
      </c>
      <c r="BL119" s="84">
        <v>3</v>
      </c>
      <c r="BM119" s="88">
        <v>0.25</v>
      </c>
      <c r="BN119" s="82" t="s">
        <v>379</v>
      </c>
      <c r="BO119" s="82" t="s">
        <v>1002</v>
      </c>
      <c r="BP119" s="82" t="s">
        <v>64</v>
      </c>
      <c r="BQ119" s="63" t="s">
        <v>577</v>
      </c>
      <c r="BR119" s="82" t="s">
        <v>1003</v>
      </c>
      <c r="BS119" s="82" t="s">
        <v>2163</v>
      </c>
      <c r="BT119" s="82" t="s">
        <v>573</v>
      </c>
      <c r="BU119" s="90">
        <v>1.99</v>
      </c>
      <c r="BV119" s="90">
        <v>0.16</v>
      </c>
      <c r="BW119" s="90">
        <v>0.16</v>
      </c>
      <c r="BX119" s="86">
        <v>2</v>
      </c>
      <c r="BY119" s="86">
        <v>2</v>
      </c>
      <c r="BZ119" s="82" t="s">
        <v>159</v>
      </c>
      <c r="CA119" s="82" t="s">
        <v>1004</v>
      </c>
      <c r="CB119" s="82" t="s">
        <v>80</v>
      </c>
      <c r="CC119" s="90">
        <v>1.41</v>
      </c>
      <c r="CD119" s="90">
        <v>0.26</v>
      </c>
      <c r="CE119" s="90">
        <v>0.26</v>
      </c>
      <c r="CF119" s="86">
        <v>2</v>
      </c>
      <c r="CG119" s="86">
        <v>2</v>
      </c>
      <c r="CH119" s="82" t="s">
        <v>159</v>
      </c>
      <c r="CI119" s="82" t="s">
        <v>1004</v>
      </c>
      <c r="CK119" s="86"/>
      <c r="CL119" s="86"/>
      <c r="CM119" s="86"/>
      <c r="CN119" s="86"/>
      <c r="CO119" s="86"/>
      <c r="CS119" s="86"/>
      <c r="CT119" s="86"/>
      <c r="CU119" s="86"/>
      <c r="CV119" s="67"/>
      <c r="CW119" s="67"/>
      <c r="CX119" s="63"/>
      <c r="DD119" s="63"/>
      <c r="DE119" s="63"/>
      <c r="DF119" s="63"/>
      <c r="DL119" s="63"/>
      <c r="DM119" s="63"/>
      <c r="DN119" s="63"/>
      <c r="DP119" s="175"/>
      <c r="DQ119" s="79"/>
      <c r="DR119" s="79"/>
      <c r="DT119" s="63"/>
      <c r="DU119" s="63"/>
      <c r="DV119" s="63"/>
      <c r="DY119" s="86"/>
      <c r="DZ119" s="86"/>
      <c r="EA119" s="86"/>
      <c r="EB119" s="67"/>
      <c r="EC119" s="67"/>
      <c r="EG119" s="86"/>
      <c r="EH119" s="86"/>
      <c r="EI119" s="86"/>
      <c r="EJ119" s="67"/>
      <c r="EK119" s="67"/>
      <c r="EN119" s="86">
        <f>BU119</f>
        <v>1.99</v>
      </c>
      <c r="EO119" s="90">
        <f t="shared" si="125"/>
        <v>0.16</v>
      </c>
      <c r="EP119" s="86">
        <f t="shared" si="125"/>
        <v>2</v>
      </c>
      <c r="EQ119" s="86">
        <f t="shared" si="125"/>
        <v>2</v>
      </c>
      <c r="ER119" s="86">
        <f>CC119</f>
        <v>1.41</v>
      </c>
      <c r="ES119" s="90">
        <f t="shared" si="126"/>
        <v>0.26</v>
      </c>
      <c r="ET119" s="86">
        <f t="shared" si="126"/>
        <v>2</v>
      </c>
      <c r="EU119" s="86">
        <f t="shared" si="126"/>
        <v>2</v>
      </c>
      <c r="EV119" s="86">
        <f t="shared" si="127"/>
        <v>0.21587033144922904</v>
      </c>
      <c r="EW119" s="86">
        <f t="shared" si="128"/>
        <v>2.6867981167500612</v>
      </c>
      <c r="EX119" s="86">
        <f t="shared" si="129"/>
        <v>1.9023605150214595</v>
      </c>
      <c r="EY119" s="86">
        <f t="shared" si="130"/>
        <v>0.5714285714285714</v>
      </c>
      <c r="EZ119" s="83">
        <f t="shared" si="131"/>
        <v>1.5353132095714634</v>
      </c>
      <c r="FA119" s="83">
        <f t="shared" si="132"/>
        <v>0.62117894368047655</v>
      </c>
      <c r="FB119" s="83">
        <f t="shared" si="133"/>
        <v>4</v>
      </c>
      <c r="FC119" s="63" t="s">
        <v>385</v>
      </c>
    </row>
    <row r="120" spans="1:159" s="82" customFormat="1" ht="17.100000000000001" customHeight="1">
      <c r="A120" s="78" t="s">
        <v>1820</v>
      </c>
      <c r="B120" s="79" t="s">
        <v>1904</v>
      </c>
      <c r="C120" s="80" t="str">
        <f t="shared" si="71"/>
        <v>McGee, G. G., Leopold, D. J., &amp; Nyland, R. D.  1995.  Understory response to springtime prescribed fire in two New York transition oak forests. Forest Ecology and Management. 76: 149-168.</v>
      </c>
      <c r="D120" s="81" t="s">
        <v>1487</v>
      </c>
      <c r="E120" s="81">
        <v>1995</v>
      </c>
      <c r="F120" s="79" t="s">
        <v>1544</v>
      </c>
      <c r="G120" s="79" t="s">
        <v>20</v>
      </c>
      <c r="H120" s="81">
        <v>76</v>
      </c>
      <c r="I120" s="81" t="s">
        <v>643</v>
      </c>
      <c r="J120" s="79"/>
      <c r="K120" s="82" t="s">
        <v>644</v>
      </c>
      <c r="L120" s="82" t="s">
        <v>18</v>
      </c>
      <c r="M120" s="65" t="s">
        <v>73</v>
      </c>
      <c r="N120" s="63" t="s">
        <v>389</v>
      </c>
      <c r="P120" s="64" t="s">
        <v>16</v>
      </c>
      <c r="Q120" s="63" t="s">
        <v>645</v>
      </c>
      <c r="R120" s="82" t="s">
        <v>1367</v>
      </c>
      <c r="S120" s="79"/>
      <c r="T120" s="79" t="s">
        <v>646</v>
      </c>
      <c r="U120" s="79" t="s">
        <v>647</v>
      </c>
      <c r="V120" s="84">
        <v>42.24</v>
      </c>
      <c r="W120" s="84">
        <v>-75.88</v>
      </c>
      <c r="X120" s="81" t="s">
        <v>648</v>
      </c>
      <c r="Y120" s="66" t="s">
        <v>1897</v>
      </c>
      <c r="Z120" s="66" t="s">
        <v>2203</v>
      </c>
      <c r="AA120" s="97" t="s">
        <v>555</v>
      </c>
      <c r="AB120" s="79" t="s">
        <v>103</v>
      </c>
      <c r="AC120" s="79" t="s">
        <v>135</v>
      </c>
      <c r="AE120" s="82" t="s">
        <v>649</v>
      </c>
      <c r="AF120" s="82" t="s">
        <v>105</v>
      </c>
      <c r="AG120" s="82" t="s">
        <v>92</v>
      </c>
      <c r="AH120" s="82" t="s">
        <v>106</v>
      </c>
      <c r="AI120" s="82" t="s">
        <v>276</v>
      </c>
      <c r="AJ120" s="86">
        <v>2</v>
      </c>
      <c r="AK120" s="86">
        <v>1</v>
      </c>
      <c r="AL120" s="86">
        <v>1</v>
      </c>
      <c r="AM120" s="84" t="s">
        <v>64</v>
      </c>
      <c r="AN120" s="84" t="s">
        <v>526</v>
      </c>
      <c r="AO120" s="84" t="s">
        <v>526</v>
      </c>
      <c r="AP120" s="68" t="s">
        <v>2227</v>
      </c>
      <c r="AQ120" s="82" t="s">
        <v>94</v>
      </c>
      <c r="AR120" s="86">
        <v>4</v>
      </c>
      <c r="AS120" s="159" t="s">
        <v>650</v>
      </c>
      <c r="AT120" s="86"/>
      <c r="AU120" s="111" t="s">
        <v>1166</v>
      </c>
      <c r="AV120" s="88">
        <v>8.5106382978723402E-2</v>
      </c>
      <c r="AW120" s="82" t="s">
        <v>1627</v>
      </c>
      <c r="AX120" s="84" t="s">
        <v>80</v>
      </c>
      <c r="AY120" s="86">
        <v>2</v>
      </c>
      <c r="AZ120" s="86">
        <v>4</v>
      </c>
      <c r="BA120" s="86" t="s">
        <v>651</v>
      </c>
      <c r="BB120" s="86"/>
      <c r="BD120" s="176" t="s">
        <v>124</v>
      </c>
      <c r="BE120" s="177" t="s">
        <v>182</v>
      </c>
      <c r="BF120" s="83" t="s">
        <v>386</v>
      </c>
      <c r="BG120" s="84" t="s">
        <v>21</v>
      </c>
      <c r="BH120" s="84" t="s">
        <v>81</v>
      </c>
      <c r="BI120" s="84" t="s">
        <v>231</v>
      </c>
      <c r="BJ120" s="89">
        <f t="shared" ref="BJ120:BJ127" si="134">141/12</f>
        <v>11.75</v>
      </c>
      <c r="BK120" s="84" t="s">
        <v>652</v>
      </c>
      <c r="BL120" s="84" t="s">
        <v>652</v>
      </c>
      <c r="BM120" s="88">
        <v>11.75</v>
      </c>
      <c r="BN120" s="82" t="s">
        <v>379</v>
      </c>
      <c r="BO120" s="84" t="s">
        <v>382</v>
      </c>
      <c r="BP120" s="84" t="s">
        <v>64</v>
      </c>
      <c r="BR120" s="63" t="s">
        <v>1780</v>
      </c>
      <c r="BS120" s="63" t="s">
        <v>2144</v>
      </c>
      <c r="BU120" s="86"/>
      <c r="BV120" s="86"/>
      <c r="BW120" s="90"/>
      <c r="BX120" s="86"/>
      <c r="BY120" s="86"/>
      <c r="CC120" s="100"/>
      <c r="CD120" s="100"/>
      <c r="CE120" s="90"/>
      <c r="CF120" s="86"/>
      <c r="CG120" s="86"/>
      <c r="CK120" s="86"/>
      <c r="CL120" s="86"/>
      <c r="CM120" s="86"/>
      <c r="CN120" s="86"/>
      <c r="CO120" s="86"/>
      <c r="CR120" s="84" t="s">
        <v>572</v>
      </c>
      <c r="CS120" s="86">
        <v>26.5</v>
      </c>
      <c r="CT120" s="86">
        <v>16</v>
      </c>
      <c r="CU120" s="86">
        <v>22.627416997969522</v>
      </c>
      <c r="CV120" s="86">
        <v>2</v>
      </c>
      <c r="CW120" s="86">
        <v>2</v>
      </c>
      <c r="CX120" s="82" t="s">
        <v>653</v>
      </c>
      <c r="CY120" s="82" t="s">
        <v>654</v>
      </c>
      <c r="CZ120" s="84" t="s">
        <v>80</v>
      </c>
      <c r="DA120" s="82">
        <v>17.5</v>
      </c>
      <c r="DB120" s="82">
        <v>4.5</v>
      </c>
      <c r="DC120" s="82">
        <v>6.3639610306789285</v>
      </c>
      <c r="DD120" s="82">
        <v>2</v>
      </c>
      <c r="DE120" s="82">
        <v>2</v>
      </c>
      <c r="DF120" s="82" t="s">
        <v>653</v>
      </c>
      <c r="DG120" s="82" t="s">
        <v>654</v>
      </c>
      <c r="DH120" s="84" t="s">
        <v>572</v>
      </c>
      <c r="DI120" s="82">
        <v>30</v>
      </c>
      <c r="DJ120" s="82">
        <v>13</v>
      </c>
      <c r="DK120" s="82">
        <v>18.384776310850238</v>
      </c>
      <c r="DL120" s="82">
        <v>2</v>
      </c>
      <c r="DM120" s="82">
        <v>2</v>
      </c>
      <c r="DN120" s="82" t="s">
        <v>653</v>
      </c>
      <c r="DO120" s="82" t="s">
        <v>654</v>
      </c>
      <c r="DP120" s="84" t="s">
        <v>80</v>
      </c>
      <c r="DQ120" s="82">
        <v>22</v>
      </c>
      <c r="DR120" s="82">
        <v>4</v>
      </c>
      <c r="DS120" s="82">
        <v>5.6568542494923806</v>
      </c>
      <c r="DT120" s="82">
        <v>2</v>
      </c>
      <c r="DU120" s="82">
        <v>2</v>
      </c>
      <c r="DV120" s="82" t="s">
        <v>653</v>
      </c>
      <c r="DW120" s="82" t="s">
        <v>654</v>
      </c>
      <c r="DX120" s="82" t="s">
        <v>1747</v>
      </c>
      <c r="DY120" s="86">
        <f t="shared" ref="DY120:DY127" si="135">DI120-CS120</f>
        <v>3.5</v>
      </c>
      <c r="DZ120" s="86"/>
      <c r="EA120" s="86">
        <f t="shared" ref="EA120:EA127" si="136">SQRT((CU120^2)+(DK120^2))</f>
        <v>29.154759474226505</v>
      </c>
      <c r="EB120" s="86">
        <v>2</v>
      </c>
      <c r="EC120" s="86">
        <v>2</v>
      </c>
      <c r="ED120" s="82" t="s">
        <v>1743</v>
      </c>
      <c r="EE120" s="82" t="s">
        <v>1744</v>
      </c>
      <c r="EF120" s="82" t="s">
        <v>1746</v>
      </c>
      <c r="EG120" s="86">
        <f t="shared" ref="EG120:EG127" si="137">DQ120-DA120</f>
        <v>4.5</v>
      </c>
      <c r="EH120" s="86"/>
      <c r="EI120" s="86">
        <f t="shared" ref="EI120:EI127" si="138">SQRT((DS120^2)+(DC120^2))</f>
        <v>8.5146931829632013</v>
      </c>
      <c r="EJ120" s="86">
        <v>2</v>
      </c>
      <c r="EK120" s="86">
        <v>2</v>
      </c>
      <c r="EL120" s="82" t="s">
        <v>1743</v>
      </c>
      <c r="EM120" s="82" t="s">
        <v>1745</v>
      </c>
      <c r="EN120" s="86">
        <f t="shared" ref="EN120:EN127" si="139">DY120</f>
        <v>3.5</v>
      </c>
      <c r="EO120" s="86">
        <f t="shared" ref="EO120:EQ127" si="140">EA120</f>
        <v>29.154759474226505</v>
      </c>
      <c r="EP120" s="86">
        <f t="shared" si="140"/>
        <v>2</v>
      </c>
      <c r="EQ120" s="86">
        <f t="shared" si="140"/>
        <v>2</v>
      </c>
      <c r="ER120" s="86">
        <f t="shared" ref="ER120:ER127" si="141">EG120</f>
        <v>4.5</v>
      </c>
      <c r="ES120" s="86">
        <f t="shared" ref="ES120:EU127" si="142">EI120</f>
        <v>8.5146931829632013</v>
      </c>
      <c r="ET120" s="86">
        <f t="shared" si="142"/>
        <v>2</v>
      </c>
      <c r="EU120" s="86">
        <f t="shared" si="142"/>
        <v>2</v>
      </c>
      <c r="EV120" s="86">
        <f t="shared" si="127"/>
        <v>21.476731594914533</v>
      </c>
      <c r="EW120" s="86">
        <f t="shared" si="128"/>
        <v>-4.6562019717971873E-2</v>
      </c>
      <c r="EX120" s="86">
        <f t="shared" si="129"/>
        <v>1.000271002710027</v>
      </c>
      <c r="EY120" s="86">
        <f t="shared" si="130"/>
        <v>0.5714285714285714</v>
      </c>
      <c r="EZ120" s="83">
        <f t="shared" si="131"/>
        <v>-2.660686841026964E-2</v>
      </c>
      <c r="FA120" s="83">
        <f t="shared" si="132"/>
        <v>0.3266191029257231</v>
      </c>
      <c r="FB120" s="83">
        <f t="shared" si="133"/>
        <v>4</v>
      </c>
      <c r="FC120" s="84" t="s">
        <v>125</v>
      </c>
    </row>
    <row r="121" spans="1:159" s="82" customFormat="1" ht="17.100000000000001" customHeight="1">
      <c r="A121" s="78" t="s">
        <v>1820</v>
      </c>
      <c r="B121" s="79" t="s">
        <v>1904</v>
      </c>
      <c r="C121" s="80" t="str">
        <f t="shared" si="71"/>
        <v>McGee, G. G., Leopold, D. J., &amp; Nyland, R. D.  1995.  Understory response to springtime prescribed fire in two New York transition oak forests. Forest Ecology and Management. 76: 149-168.</v>
      </c>
      <c r="D121" s="81" t="s">
        <v>1487</v>
      </c>
      <c r="E121" s="81">
        <v>1995</v>
      </c>
      <c r="F121" s="79" t="s">
        <v>1544</v>
      </c>
      <c r="G121" s="79" t="s">
        <v>20</v>
      </c>
      <c r="H121" s="81">
        <v>76</v>
      </c>
      <c r="I121" s="81" t="s">
        <v>643</v>
      </c>
      <c r="J121" s="79"/>
      <c r="K121" s="82" t="s">
        <v>644</v>
      </c>
      <c r="L121" s="82" t="s">
        <v>18</v>
      </c>
      <c r="M121" s="65" t="s">
        <v>73</v>
      </c>
      <c r="N121" s="63" t="s">
        <v>389</v>
      </c>
      <c r="P121" s="64" t="s">
        <v>16</v>
      </c>
      <c r="Q121" s="63" t="s">
        <v>645</v>
      </c>
      <c r="R121" s="82" t="s">
        <v>1367</v>
      </c>
      <c r="S121" s="79"/>
      <c r="T121" s="79" t="s">
        <v>646</v>
      </c>
      <c r="U121" s="79" t="s">
        <v>647</v>
      </c>
      <c r="V121" s="84">
        <v>42.24</v>
      </c>
      <c r="W121" s="84">
        <v>-75.88</v>
      </c>
      <c r="X121" s="81" t="s">
        <v>648</v>
      </c>
      <c r="Y121" s="66" t="s">
        <v>1897</v>
      </c>
      <c r="Z121" s="66" t="s">
        <v>2203</v>
      </c>
      <c r="AA121" s="97" t="s">
        <v>555</v>
      </c>
      <c r="AB121" s="79" t="s">
        <v>103</v>
      </c>
      <c r="AC121" s="79" t="s">
        <v>135</v>
      </c>
      <c r="AE121" s="82" t="s">
        <v>649</v>
      </c>
      <c r="AF121" s="82" t="s">
        <v>105</v>
      </c>
      <c r="AG121" s="82" t="s">
        <v>92</v>
      </c>
      <c r="AH121" s="82" t="s">
        <v>106</v>
      </c>
      <c r="AI121" s="82" t="s">
        <v>276</v>
      </c>
      <c r="AJ121" s="86">
        <v>2</v>
      </c>
      <c r="AK121" s="86">
        <v>1</v>
      </c>
      <c r="AL121" s="86">
        <v>1</v>
      </c>
      <c r="AM121" s="84" t="s">
        <v>64</v>
      </c>
      <c r="AN121" s="84" t="s">
        <v>526</v>
      </c>
      <c r="AO121" s="84" t="s">
        <v>526</v>
      </c>
      <c r="AP121" s="68" t="s">
        <v>2227</v>
      </c>
      <c r="AQ121" s="82" t="s">
        <v>94</v>
      </c>
      <c r="AR121" s="86">
        <v>4</v>
      </c>
      <c r="AS121" s="159" t="s">
        <v>650</v>
      </c>
      <c r="AT121" s="86"/>
      <c r="AU121" s="111" t="s">
        <v>1166</v>
      </c>
      <c r="AV121" s="88">
        <v>8.5106382978723402E-2</v>
      </c>
      <c r="AW121" s="82" t="s">
        <v>1627</v>
      </c>
      <c r="AX121" s="84" t="s">
        <v>80</v>
      </c>
      <c r="AY121" s="86">
        <v>2</v>
      </c>
      <c r="AZ121" s="86">
        <v>4</v>
      </c>
      <c r="BA121" s="86" t="s">
        <v>651</v>
      </c>
      <c r="BB121" s="86"/>
      <c r="BD121" s="93" t="s">
        <v>124</v>
      </c>
      <c r="BE121" s="84" t="s">
        <v>182</v>
      </c>
      <c r="BF121" s="83" t="s">
        <v>387</v>
      </c>
      <c r="BG121" s="84" t="s">
        <v>21</v>
      </c>
      <c r="BH121" s="84" t="s">
        <v>81</v>
      </c>
      <c r="BI121" s="84" t="s">
        <v>231</v>
      </c>
      <c r="BJ121" s="89">
        <f t="shared" si="134"/>
        <v>11.75</v>
      </c>
      <c r="BK121" s="84" t="s">
        <v>652</v>
      </c>
      <c r="BL121" s="84" t="s">
        <v>652</v>
      </c>
      <c r="BM121" s="88">
        <v>11.75</v>
      </c>
      <c r="BN121" s="82" t="s">
        <v>379</v>
      </c>
      <c r="BO121" s="84" t="s">
        <v>382</v>
      </c>
      <c r="BP121" s="84" t="s">
        <v>64</v>
      </c>
      <c r="BR121" s="63" t="s">
        <v>655</v>
      </c>
      <c r="BS121" s="63" t="s">
        <v>679</v>
      </c>
      <c r="BU121" s="86"/>
      <c r="BV121" s="86"/>
      <c r="BW121" s="90"/>
      <c r="BX121" s="86"/>
      <c r="BY121" s="86"/>
      <c r="CC121" s="100"/>
      <c r="CD121" s="100"/>
      <c r="CE121" s="90"/>
      <c r="CF121" s="86"/>
      <c r="CG121" s="86"/>
      <c r="CK121" s="86"/>
      <c r="CL121" s="86"/>
      <c r="CM121" s="86"/>
      <c r="CN121" s="86"/>
      <c r="CO121" s="86"/>
      <c r="CR121" s="84" t="s">
        <v>572</v>
      </c>
      <c r="CS121" s="86">
        <v>7.5</v>
      </c>
      <c r="CT121" s="86">
        <v>0.5</v>
      </c>
      <c r="CU121" s="86">
        <v>0.70710678118654757</v>
      </c>
      <c r="CV121" s="86">
        <v>2</v>
      </c>
      <c r="CW121" s="86">
        <v>2</v>
      </c>
      <c r="CX121" s="82" t="s">
        <v>653</v>
      </c>
      <c r="CY121" s="82" t="s">
        <v>654</v>
      </c>
      <c r="CZ121" s="84" t="s">
        <v>80</v>
      </c>
      <c r="DA121" s="82">
        <v>4</v>
      </c>
      <c r="DB121" s="82">
        <v>2</v>
      </c>
      <c r="DC121" s="82">
        <v>2.8284271247461903</v>
      </c>
      <c r="DD121" s="82">
        <v>2</v>
      </c>
      <c r="DE121" s="82">
        <v>2</v>
      </c>
      <c r="DF121" s="82" t="s">
        <v>653</v>
      </c>
      <c r="DG121" s="82" t="s">
        <v>654</v>
      </c>
      <c r="DH121" s="84" t="s">
        <v>572</v>
      </c>
      <c r="DI121" s="82">
        <v>7</v>
      </c>
      <c r="DJ121" s="82">
        <v>1</v>
      </c>
      <c r="DK121" s="82">
        <v>1.4142135623730951</v>
      </c>
      <c r="DL121" s="82">
        <v>2</v>
      </c>
      <c r="DM121" s="82">
        <v>2</v>
      </c>
      <c r="DN121" s="82" t="s">
        <v>653</v>
      </c>
      <c r="DO121" s="82" t="s">
        <v>654</v>
      </c>
      <c r="DP121" s="91" t="s">
        <v>80</v>
      </c>
      <c r="DQ121" s="82">
        <v>4.5</v>
      </c>
      <c r="DR121" s="82">
        <v>1.5</v>
      </c>
      <c r="DS121" s="82">
        <v>2.1213203435596428</v>
      </c>
      <c r="DT121" s="82">
        <v>2</v>
      </c>
      <c r="DU121" s="82">
        <v>2</v>
      </c>
      <c r="DV121" s="82" t="s">
        <v>653</v>
      </c>
      <c r="DW121" s="82" t="s">
        <v>654</v>
      </c>
      <c r="DX121" s="82" t="s">
        <v>1747</v>
      </c>
      <c r="DY121" s="86">
        <f t="shared" si="135"/>
        <v>-0.5</v>
      </c>
      <c r="DZ121" s="86"/>
      <c r="EA121" s="86">
        <f t="shared" si="136"/>
        <v>1.5811388300841898</v>
      </c>
      <c r="EB121" s="86">
        <v>2</v>
      </c>
      <c r="EC121" s="86">
        <v>2</v>
      </c>
      <c r="ED121" s="82" t="s">
        <v>1743</v>
      </c>
      <c r="EE121" s="82" t="s">
        <v>1744</v>
      </c>
      <c r="EF121" s="82" t="s">
        <v>1746</v>
      </c>
      <c r="EG121" s="86">
        <f t="shared" si="137"/>
        <v>0.5</v>
      </c>
      <c r="EH121" s="86"/>
      <c r="EI121" s="86">
        <f t="shared" si="138"/>
        <v>3.5355339059327382</v>
      </c>
      <c r="EJ121" s="86">
        <v>2</v>
      </c>
      <c r="EK121" s="86">
        <v>2</v>
      </c>
      <c r="EL121" s="82" t="s">
        <v>1743</v>
      </c>
      <c r="EM121" s="82" t="s">
        <v>1745</v>
      </c>
      <c r="EN121" s="86">
        <f t="shared" si="139"/>
        <v>-0.5</v>
      </c>
      <c r="EO121" s="86">
        <f t="shared" si="140"/>
        <v>1.5811388300841898</v>
      </c>
      <c r="EP121" s="86">
        <f t="shared" si="140"/>
        <v>2</v>
      </c>
      <c r="EQ121" s="86">
        <f t="shared" si="140"/>
        <v>2</v>
      </c>
      <c r="ER121" s="86">
        <f t="shared" si="141"/>
        <v>0.5</v>
      </c>
      <c r="ES121" s="86">
        <f t="shared" si="142"/>
        <v>3.5355339059327382</v>
      </c>
      <c r="ET121" s="86">
        <f t="shared" si="142"/>
        <v>2</v>
      </c>
      <c r="EU121" s="86">
        <f t="shared" si="142"/>
        <v>2</v>
      </c>
      <c r="EV121" s="86">
        <f t="shared" si="127"/>
        <v>2.738612787525831</v>
      </c>
      <c r="EW121" s="86">
        <f t="shared" si="128"/>
        <v>-0.36514837167011066</v>
      </c>
      <c r="EX121" s="86">
        <f t="shared" si="129"/>
        <v>1.0166666666666666</v>
      </c>
      <c r="EY121" s="86">
        <f t="shared" si="130"/>
        <v>0.5714285714285714</v>
      </c>
      <c r="EZ121" s="83">
        <f t="shared" si="131"/>
        <v>-0.20865621238292037</v>
      </c>
      <c r="FA121" s="83">
        <f t="shared" si="132"/>
        <v>0.33197278911564621</v>
      </c>
      <c r="FB121" s="83">
        <f t="shared" si="133"/>
        <v>4</v>
      </c>
      <c r="FC121" s="84" t="s">
        <v>125</v>
      </c>
    </row>
    <row r="122" spans="1:159" s="82" customFormat="1" ht="17.100000000000001" customHeight="1">
      <c r="A122" s="78" t="s">
        <v>1820</v>
      </c>
      <c r="B122" s="79" t="s">
        <v>1904</v>
      </c>
      <c r="C122" s="80" t="str">
        <f t="shared" si="71"/>
        <v>McGee, G. G., Leopold, D. J., &amp; Nyland, R. D.  1995.  Understory response to springtime prescribed fire in two New York transition oak forests. Forest Ecology and Management. 76: 149-168.</v>
      </c>
      <c r="D122" s="81" t="s">
        <v>1487</v>
      </c>
      <c r="E122" s="81">
        <v>1995</v>
      </c>
      <c r="F122" s="79" t="s">
        <v>1544</v>
      </c>
      <c r="G122" s="79" t="s">
        <v>20</v>
      </c>
      <c r="H122" s="81">
        <v>76</v>
      </c>
      <c r="I122" s="81" t="s">
        <v>643</v>
      </c>
      <c r="J122" s="79"/>
      <c r="K122" s="82" t="s">
        <v>644</v>
      </c>
      <c r="L122" s="82" t="s">
        <v>18</v>
      </c>
      <c r="M122" s="65" t="s">
        <v>73</v>
      </c>
      <c r="N122" s="63" t="s">
        <v>389</v>
      </c>
      <c r="P122" s="64" t="s">
        <v>16</v>
      </c>
      <c r="Q122" s="63" t="s">
        <v>645</v>
      </c>
      <c r="R122" s="82" t="s">
        <v>1367</v>
      </c>
      <c r="S122" s="79"/>
      <c r="T122" s="79" t="s">
        <v>646</v>
      </c>
      <c r="U122" s="79" t="s">
        <v>647</v>
      </c>
      <c r="V122" s="84">
        <v>42.24</v>
      </c>
      <c r="W122" s="84">
        <v>-75.88</v>
      </c>
      <c r="X122" s="81" t="s">
        <v>648</v>
      </c>
      <c r="Y122" s="66" t="s">
        <v>1897</v>
      </c>
      <c r="Z122" s="66" t="s">
        <v>2203</v>
      </c>
      <c r="AA122" s="97" t="s">
        <v>555</v>
      </c>
      <c r="AB122" s="79" t="s">
        <v>103</v>
      </c>
      <c r="AC122" s="79" t="s">
        <v>135</v>
      </c>
      <c r="AE122" s="82" t="s">
        <v>649</v>
      </c>
      <c r="AF122" s="82" t="s">
        <v>105</v>
      </c>
      <c r="AG122" s="82" t="s">
        <v>92</v>
      </c>
      <c r="AH122" s="82" t="s">
        <v>106</v>
      </c>
      <c r="AI122" s="82" t="s">
        <v>276</v>
      </c>
      <c r="AJ122" s="86">
        <v>2</v>
      </c>
      <c r="AK122" s="86">
        <v>1</v>
      </c>
      <c r="AL122" s="86">
        <v>1</v>
      </c>
      <c r="AM122" s="84" t="s">
        <v>64</v>
      </c>
      <c r="AN122" s="84" t="s">
        <v>526</v>
      </c>
      <c r="AO122" s="84" t="s">
        <v>526</v>
      </c>
      <c r="AP122" s="68" t="s">
        <v>2227</v>
      </c>
      <c r="AQ122" s="82" t="s">
        <v>94</v>
      </c>
      <c r="AR122" s="86">
        <v>4</v>
      </c>
      <c r="AS122" s="178" t="s">
        <v>650</v>
      </c>
      <c r="AT122" s="86"/>
      <c r="AU122" s="111" t="s">
        <v>1166</v>
      </c>
      <c r="AV122" s="88">
        <v>8.5106382978723402E-2</v>
      </c>
      <c r="AW122" s="82" t="s">
        <v>1628</v>
      </c>
      <c r="AX122" s="84" t="s">
        <v>80</v>
      </c>
      <c r="AY122" s="86">
        <v>2</v>
      </c>
      <c r="AZ122" s="86">
        <v>4</v>
      </c>
      <c r="BA122" s="86" t="s">
        <v>651</v>
      </c>
      <c r="BB122" s="86"/>
      <c r="BD122" s="93" t="s">
        <v>124</v>
      </c>
      <c r="BE122" s="84" t="s">
        <v>182</v>
      </c>
      <c r="BF122" s="83" t="s">
        <v>112</v>
      </c>
      <c r="BG122" s="84" t="s">
        <v>21</v>
      </c>
      <c r="BH122" s="84" t="s">
        <v>81</v>
      </c>
      <c r="BI122" s="84" t="s">
        <v>231</v>
      </c>
      <c r="BJ122" s="89">
        <f t="shared" si="134"/>
        <v>11.75</v>
      </c>
      <c r="BK122" s="84" t="s">
        <v>652</v>
      </c>
      <c r="BL122" s="84" t="s">
        <v>652</v>
      </c>
      <c r="BM122" s="88">
        <v>11.75</v>
      </c>
      <c r="BN122" s="82" t="s">
        <v>379</v>
      </c>
      <c r="BO122" s="84" t="s">
        <v>382</v>
      </c>
      <c r="BP122" s="84" t="s">
        <v>64</v>
      </c>
      <c r="BR122" s="63" t="s">
        <v>2068</v>
      </c>
      <c r="BS122" s="63" t="s">
        <v>2175</v>
      </c>
      <c r="BU122" s="86"/>
      <c r="BV122" s="86"/>
      <c r="BW122" s="90"/>
      <c r="BX122" s="86"/>
      <c r="BY122" s="86"/>
      <c r="CC122" s="100"/>
      <c r="CD122" s="100"/>
      <c r="CE122" s="90"/>
      <c r="CF122" s="86"/>
      <c r="CG122" s="86"/>
      <c r="CK122" s="86"/>
      <c r="CL122" s="86"/>
      <c r="CM122" s="86"/>
      <c r="CN122" s="86"/>
      <c r="CO122" s="86"/>
      <c r="CR122" s="84" t="s">
        <v>572</v>
      </c>
      <c r="CS122" s="86">
        <v>16.5</v>
      </c>
      <c r="CT122" s="86">
        <v>1.5</v>
      </c>
      <c r="CU122" s="86">
        <v>2.1213203435596428</v>
      </c>
      <c r="CV122" s="86">
        <v>2</v>
      </c>
      <c r="CW122" s="86">
        <v>2</v>
      </c>
      <c r="CX122" s="82" t="s">
        <v>653</v>
      </c>
      <c r="CY122" s="82" t="s">
        <v>654</v>
      </c>
      <c r="CZ122" s="84" t="s">
        <v>80</v>
      </c>
      <c r="DA122" s="82">
        <v>12.5</v>
      </c>
      <c r="DB122" s="82">
        <v>3.5</v>
      </c>
      <c r="DC122" s="82">
        <v>4.9497474683058327</v>
      </c>
      <c r="DD122" s="82">
        <v>2</v>
      </c>
      <c r="DE122" s="82">
        <v>2</v>
      </c>
      <c r="DF122" s="82" t="s">
        <v>653</v>
      </c>
      <c r="DG122" s="82" t="s">
        <v>654</v>
      </c>
      <c r="DH122" s="84" t="s">
        <v>572</v>
      </c>
      <c r="DI122" s="82">
        <v>17</v>
      </c>
      <c r="DJ122" s="82">
        <v>1</v>
      </c>
      <c r="DK122" s="82">
        <v>1.4142135623730951</v>
      </c>
      <c r="DL122" s="82">
        <v>2</v>
      </c>
      <c r="DM122" s="82">
        <v>2</v>
      </c>
      <c r="DN122" s="82" t="s">
        <v>653</v>
      </c>
      <c r="DO122" s="82" t="s">
        <v>654</v>
      </c>
      <c r="DP122" s="91" t="s">
        <v>80</v>
      </c>
      <c r="DQ122" s="82">
        <v>13.5</v>
      </c>
      <c r="DR122" s="82">
        <v>3.5</v>
      </c>
      <c r="DS122" s="82">
        <v>4.9497474683058327</v>
      </c>
      <c r="DT122" s="82">
        <v>2</v>
      </c>
      <c r="DU122" s="82">
        <v>2</v>
      </c>
      <c r="DV122" s="82" t="s">
        <v>653</v>
      </c>
      <c r="DW122" s="82" t="s">
        <v>654</v>
      </c>
      <c r="DX122" s="82" t="s">
        <v>1747</v>
      </c>
      <c r="DY122" s="86">
        <f t="shared" si="135"/>
        <v>0.5</v>
      </c>
      <c r="DZ122" s="86"/>
      <c r="EA122" s="86">
        <f t="shared" si="136"/>
        <v>2.5495097567963927</v>
      </c>
      <c r="EB122" s="86">
        <v>2</v>
      </c>
      <c r="EC122" s="86">
        <v>2</v>
      </c>
      <c r="ED122" s="82" t="s">
        <v>1743</v>
      </c>
      <c r="EE122" s="82" t="s">
        <v>1744</v>
      </c>
      <c r="EF122" s="82" t="s">
        <v>1746</v>
      </c>
      <c r="EG122" s="86">
        <f t="shared" si="137"/>
        <v>1</v>
      </c>
      <c r="EH122" s="86"/>
      <c r="EI122" s="86">
        <f t="shared" si="138"/>
        <v>7</v>
      </c>
      <c r="EJ122" s="86">
        <v>2</v>
      </c>
      <c r="EK122" s="86">
        <v>2</v>
      </c>
      <c r="EL122" s="82" t="s">
        <v>1743</v>
      </c>
      <c r="EM122" s="82" t="s">
        <v>1745</v>
      </c>
      <c r="EN122" s="86">
        <f t="shared" si="139"/>
        <v>0.5</v>
      </c>
      <c r="EO122" s="86">
        <f t="shared" si="140"/>
        <v>2.5495097567963927</v>
      </c>
      <c r="EP122" s="86">
        <f t="shared" si="140"/>
        <v>2</v>
      </c>
      <c r="EQ122" s="86">
        <f t="shared" si="140"/>
        <v>2</v>
      </c>
      <c r="ER122" s="86">
        <f t="shared" si="141"/>
        <v>1</v>
      </c>
      <c r="ES122" s="86">
        <f t="shared" si="142"/>
        <v>7</v>
      </c>
      <c r="ET122" s="86">
        <f t="shared" si="142"/>
        <v>2</v>
      </c>
      <c r="EU122" s="86">
        <f t="shared" si="142"/>
        <v>2</v>
      </c>
      <c r="EV122" s="86">
        <f t="shared" si="127"/>
        <v>5.2678268764263692</v>
      </c>
      <c r="EW122" s="86">
        <f t="shared" si="128"/>
        <v>-9.4915799575249898E-2</v>
      </c>
      <c r="EX122" s="86">
        <f t="shared" si="129"/>
        <v>1.0011261261261262</v>
      </c>
      <c r="EY122" s="86">
        <f t="shared" si="130"/>
        <v>0.5714285714285714</v>
      </c>
      <c r="EZ122" s="83">
        <f t="shared" si="131"/>
        <v>-5.4237599757285655E-2</v>
      </c>
      <c r="FA122" s="83">
        <f t="shared" si="132"/>
        <v>0.32689832689832687</v>
      </c>
      <c r="FB122" s="83">
        <f t="shared" si="133"/>
        <v>4</v>
      </c>
      <c r="FC122" s="84" t="s">
        <v>125</v>
      </c>
    </row>
    <row r="123" spans="1:159" s="82" customFormat="1" ht="17.100000000000001" customHeight="1">
      <c r="A123" s="78" t="s">
        <v>1820</v>
      </c>
      <c r="B123" s="79" t="s">
        <v>1905</v>
      </c>
      <c r="C123" s="80" t="str">
        <f t="shared" si="71"/>
        <v>McGee, G. G., Leopold, D. J., &amp; Nyland, R. D.  1995.  Understory response to springtime prescribed fire in two New York transition oak forests. Forest Ecology and Management. 76: 149-168.</v>
      </c>
      <c r="D123" s="81" t="s">
        <v>1487</v>
      </c>
      <c r="E123" s="81">
        <v>1995</v>
      </c>
      <c r="F123" s="79" t="s">
        <v>1544</v>
      </c>
      <c r="G123" s="79" t="s">
        <v>20</v>
      </c>
      <c r="H123" s="81">
        <v>76</v>
      </c>
      <c r="I123" s="81" t="s">
        <v>643</v>
      </c>
      <c r="J123" s="79"/>
      <c r="K123" s="82" t="s">
        <v>644</v>
      </c>
      <c r="L123" s="82" t="s">
        <v>18</v>
      </c>
      <c r="M123" s="65" t="s">
        <v>73</v>
      </c>
      <c r="N123" s="63" t="s">
        <v>389</v>
      </c>
      <c r="P123" s="64" t="s">
        <v>16</v>
      </c>
      <c r="Q123" s="63" t="s">
        <v>645</v>
      </c>
      <c r="R123" s="82" t="s">
        <v>1367</v>
      </c>
      <c r="S123" s="79"/>
      <c r="T123" s="79" t="s">
        <v>646</v>
      </c>
      <c r="U123" s="79" t="s">
        <v>647</v>
      </c>
      <c r="V123" s="84">
        <v>42.24</v>
      </c>
      <c r="W123" s="84">
        <v>-75.88</v>
      </c>
      <c r="X123" s="81" t="s">
        <v>648</v>
      </c>
      <c r="Y123" s="66" t="s">
        <v>1897</v>
      </c>
      <c r="Z123" s="66" t="s">
        <v>2203</v>
      </c>
      <c r="AA123" s="97" t="s">
        <v>555</v>
      </c>
      <c r="AB123" s="79" t="s">
        <v>103</v>
      </c>
      <c r="AC123" s="79" t="s">
        <v>135</v>
      </c>
      <c r="AE123" s="82" t="s">
        <v>649</v>
      </c>
      <c r="AF123" s="82" t="s">
        <v>105</v>
      </c>
      <c r="AG123" s="82" t="s">
        <v>92</v>
      </c>
      <c r="AH123" s="82" t="s">
        <v>106</v>
      </c>
      <c r="AI123" s="82" t="s">
        <v>276</v>
      </c>
      <c r="AJ123" s="86">
        <v>2</v>
      </c>
      <c r="AK123" s="86">
        <v>2</v>
      </c>
      <c r="AL123" s="86">
        <v>2</v>
      </c>
      <c r="AM123" s="84" t="s">
        <v>64</v>
      </c>
      <c r="AN123" s="84" t="s">
        <v>526</v>
      </c>
      <c r="AO123" s="84" t="s">
        <v>526</v>
      </c>
      <c r="AP123" s="68" t="s">
        <v>2227</v>
      </c>
      <c r="AQ123" s="82" t="s">
        <v>94</v>
      </c>
      <c r="AR123" s="86">
        <v>4</v>
      </c>
      <c r="AS123" s="178" t="s">
        <v>650</v>
      </c>
      <c r="AT123" s="86"/>
      <c r="AU123" s="111" t="s">
        <v>1166</v>
      </c>
      <c r="AV123" s="88">
        <v>0.1702127659574468</v>
      </c>
      <c r="AW123" s="82" t="s">
        <v>1629</v>
      </c>
      <c r="AX123" s="84" t="s">
        <v>80</v>
      </c>
      <c r="AY123" s="86">
        <v>2</v>
      </c>
      <c r="AZ123" s="86">
        <v>4</v>
      </c>
      <c r="BA123" s="86" t="s">
        <v>651</v>
      </c>
      <c r="BB123" s="86"/>
      <c r="BD123" s="93" t="s">
        <v>124</v>
      </c>
      <c r="BE123" s="84" t="s">
        <v>182</v>
      </c>
      <c r="BF123" s="83" t="s">
        <v>386</v>
      </c>
      <c r="BG123" s="84" t="s">
        <v>21</v>
      </c>
      <c r="BH123" s="84" t="s">
        <v>81</v>
      </c>
      <c r="BI123" s="84" t="s">
        <v>231</v>
      </c>
      <c r="BJ123" s="89">
        <f t="shared" si="134"/>
        <v>11.75</v>
      </c>
      <c r="BK123" s="84" t="s">
        <v>652</v>
      </c>
      <c r="BL123" s="84">
        <v>99</v>
      </c>
      <c r="BM123" s="88">
        <v>8.25</v>
      </c>
      <c r="BN123" s="82" t="s">
        <v>379</v>
      </c>
      <c r="BO123" s="84" t="s">
        <v>382</v>
      </c>
      <c r="BP123" s="84" t="s">
        <v>64</v>
      </c>
      <c r="BQ123" s="63"/>
      <c r="BR123" s="63" t="s">
        <v>1780</v>
      </c>
      <c r="BS123" s="63" t="s">
        <v>2144</v>
      </c>
      <c r="BU123" s="86"/>
      <c r="BV123" s="86"/>
      <c r="BW123" s="90"/>
      <c r="BX123" s="86"/>
      <c r="BY123" s="86"/>
      <c r="CC123" s="100"/>
      <c r="CD123" s="100"/>
      <c r="CE123" s="90"/>
      <c r="CF123" s="86"/>
      <c r="CG123" s="86"/>
      <c r="CK123" s="86"/>
      <c r="CL123" s="86"/>
      <c r="CM123" s="86"/>
      <c r="CN123" s="86"/>
      <c r="CO123" s="86"/>
      <c r="CR123" s="84" t="s">
        <v>573</v>
      </c>
      <c r="CS123" s="86">
        <v>24.5</v>
      </c>
      <c r="CT123" s="86">
        <v>12.5</v>
      </c>
      <c r="CU123" s="86">
        <v>17.677669529663689</v>
      </c>
      <c r="CV123" s="86">
        <v>2</v>
      </c>
      <c r="CW123" s="86">
        <v>2</v>
      </c>
      <c r="CX123" s="82" t="s">
        <v>653</v>
      </c>
      <c r="CY123" s="82" t="s">
        <v>654</v>
      </c>
      <c r="CZ123" s="84" t="s">
        <v>80</v>
      </c>
      <c r="DA123" s="82">
        <v>17.5</v>
      </c>
      <c r="DB123" s="82">
        <v>4.5</v>
      </c>
      <c r="DC123" s="82">
        <v>6.3639610306789285</v>
      </c>
      <c r="DD123" s="82">
        <v>2</v>
      </c>
      <c r="DE123" s="82">
        <v>2</v>
      </c>
      <c r="DF123" s="82" t="s">
        <v>653</v>
      </c>
      <c r="DG123" s="82" t="s">
        <v>654</v>
      </c>
      <c r="DH123" s="84" t="s">
        <v>573</v>
      </c>
      <c r="DI123" s="82">
        <v>35.5</v>
      </c>
      <c r="DJ123" s="82">
        <v>10.5</v>
      </c>
      <c r="DK123" s="82">
        <v>14.849242404917499</v>
      </c>
      <c r="DL123" s="82">
        <v>2</v>
      </c>
      <c r="DM123" s="82">
        <v>2</v>
      </c>
      <c r="DN123" s="82" t="s">
        <v>653</v>
      </c>
      <c r="DO123" s="82" t="s">
        <v>654</v>
      </c>
      <c r="DP123" s="91" t="s">
        <v>80</v>
      </c>
      <c r="DQ123" s="82">
        <v>22</v>
      </c>
      <c r="DR123" s="82">
        <v>4</v>
      </c>
      <c r="DS123" s="82">
        <v>5.6568542494923806</v>
      </c>
      <c r="DT123" s="82">
        <v>2</v>
      </c>
      <c r="DU123" s="82">
        <v>2</v>
      </c>
      <c r="DV123" s="82" t="s">
        <v>653</v>
      </c>
      <c r="DW123" s="82" t="s">
        <v>654</v>
      </c>
      <c r="DX123" s="82" t="s">
        <v>1747</v>
      </c>
      <c r="DY123" s="86">
        <f t="shared" si="135"/>
        <v>11</v>
      </c>
      <c r="DZ123" s="86"/>
      <c r="EA123" s="86">
        <f t="shared" si="136"/>
        <v>23.086792761230392</v>
      </c>
      <c r="EB123" s="86">
        <v>2</v>
      </c>
      <c r="EC123" s="86">
        <v>2</v>
      </c>
      <c r="ED123" s="82" t="s">
        <v>1743</v>
      </c>
      <c r="EE123" s="82" t="s">
        <v>1744</v>
      </c>
      <c r="EF123" s="82" t="s">
        <v>1746</v>
      </c>
      <c r="EG123" s="86">
        <f t="shared" si="137"/>
        <v>4.5</v>
      </c>
      <c r="EH123" s="86"/>
      <c r="EI123" s="86">
        <f t="shared" si="138"/>
        <v>8.5146931829632013</v>
      </c>
      <c r="EJ123" s="86">
        <v>2</v>
      </c>
      <c r="EK123" s="86">
        <v>2</v>
      </c>
      <c r="EL123" s="82" t="s">
        <v>1743</v>
      </c>
      <c r="EM123" s="82" t="s">
        <v>1745</v>
      </c>
      <c r="EN123" s="86">
        <f t="shared" si="139"/>
        <v>11</v>
      </c>
      <c r="EO123" s="86">
        <f t="shared" si="140"/>
        <v>23.086792761230392</v>
      </c>
      <c r="EP123" s="86">
        <f t="shared" si="140"/>
        <v>2</v>
      </c>
      <c r="EQ123" s="86">
        <f t="shared" si="140"/>
        <v>2</v>
      </c>
      <c r="ER123" s="86">
        <f t="shared" si="141"/>
        <v>4.5</v>
      </c>
      <c r="ES123" s="86">
        <f t="shared" si="142"/>
        <v>8.5146931829632013</v>
      </c>
      <c r="ET123" s="86">
        <f t="shared" si="142"/>
        <v>2</v>
      </c>
      <c r="EU123" s="86">
        <f t="shared" si="142"/>
        <v>2</v>
      </c>
      <c r="EV123" s="86">
        <f t="shared" si="127"/>
        <v>17.399712641305314</v>
      </c>
      <c r="EW123" s="86">
        <f t="shared" si="128"/>
        <v>0.3735693878397508</v>
      </c>
      <c r="EX123" s="86">
        <f t="shared" si="129"/>
        <v>1.0174442609413707</v>
      </c>
      <c r="EY123" s="86">
        <f t="shared" si="130"/>
        <v>0.5714285714285714</v>
      </c>
      <c r="EZ123" s="83">
        <f t="shared" si="131"/>
        <v>0.21346822162271473</v>
      </c>
      <c r="FA123" s="83">
        <f t="shared" si="132"/>
        <v>0.33222669745024347</v>
      </c>
      <c r="FB123" s="83">
        <f t="shared" si="133"/>
        <v>4</v>
      </c>
      <c r="FC123" s="84" t="s">
        <v>125</v>
      </c>
    </row>
    <row r="124" spans="1:159" s="82" customFormat="1" ht="17.100000000000001" customHeight="1">
      <c r="A124" s="78" t="s">
        <v>1820</v>
      </c>
      <c r="B124" s="79" t="s">
        <v>1905</v>
      </c>
      <c r="C124" s="80" t="str">
        <f t="shared" si="71"/>
        <v>McGee, G. G., Leopold, D. J., &amp; Nyland, R. D.  1995.  Understory response to springtime prescribed fire in two New York transition oak forests. Forest Ecology and Management. 76: 149-168.</v>
      </c>
      <c r="D124" s="81" t="s">
        <v>1487</v>
      </c>
      <c r="E124" s="81">
        <v>1995</v>
      </c>
      <c r="F124" s="79" t="s">
        <v>1544</v>
      </c>
      <c r="G124" s="79" t="s">
        <v>20</v>
      </c>
      <c r="H124" s="81">
        <v>76</v>
      </c>
      <c r="I124" s="81" t="s">
        <v>643</v>
      </c>
      <c r="J124" s="79"/>
      <c r="K124" s="82" t="s">
        <v>644</v>
      </c>
      <c r="L124" s="82" t="s">
        <v>18</v>
      </c>
      <c r="M124" s="65" t="s">
        <v>73</v>
      </c>
      <c r="N124" s="63" t="s">
        <v>389</v>
      </c>
      <c r="P124" s="64" t="s">
        <v>16</v>
      </c>
      <c r="Q124" s="63" t="s">
        <v>645</v>
      </c>
      <c r="R124" s="82" t="s">
        <v>1367</v>
      </c>
      <c r="S124" s="79"/>
      <c r="T124" s="79" t="s">
        <v>646</v>
      </c>
      <c r="U124" s="79" t="s">
        <v>647</v>
      </c>
      <c r="V124" s="84">
        <v>42.24</v>
      </c>
      <c r="W124" s="84">
        <v>-75.88</v>
      </c>
      <c r="X124" s="81" t="s">
        <v>648</v>
      </c>
      <c r="Y124" s="66" t="s">
        <v>1897</v>
      </c>
      <c r="Z124" s="66" t="s">
        <v>2203</v>
      </c>
      <c r="AA124" s="97" t="s">
        <v>555</v>
      </c>
      <c r="AB124" s="79" t="s">
        <v>103</v>
      </c>
      <c r="AC124" s="79" t="s">
        <v>135</v>
      </c>
      <c r="AE124" s="82" t="s">
        <v>649</v>
      </c>
      <c r="AF124" s="82" t="s">
        <v>105</v>
      </c>
      <c r="AG124" s="82" t="s">
        <v>92</v>
      </c>
      <c r="AH124" s="82" t="s">
        <v>106</v>
      </c>
      <c r="AI124" s="82" t="s">
        <v>276</v>
      </c>
      <c r="AJ124" s="86">
        <v>2</v>
      </c>
      <c r="AK124" s="86">
        <v>2</v>
      </c>
      <c r="AL124" s="86">
        <v>2</v>
      </c>
      <c r="AM124" s="84" t="s">
        <v>64</v>
      </c>
      <c r="AN124" s="84" t="s">
        <v>526</v>
      </c>
      <c r="AO124" s="84" t="s">
        <v>526</v>
      </c>
      <c r="AP124" s="68" t="s">
        <v>2227</v>
      </c>
      <c r="AQ124" s="82" t="s">
        <v>94</v>
      </c>
      <c r="AR124" s="86">
        <v>4</v>
      </c>
      <c r="AS124" s="159" t="s">
        <v>650</v>
      </c>
      <c r="AT124" s="86"/>
      <c r="AU124" s="111" t="s">
        <v>1166</v>
      </c>
      <c r="AV124" s="88">
        <v>0.1702127659574468</v>
      </c>
      <c r="AW124" s="82" t="s">
        <v>1629</v>
      </c>
      <c r="AX124" s="84" t="s">
        <v>80</v>
      </c>
      <c r="AY124" s="86">
        <v>2</v>
      </c>
      <c r="AZ124" s="86">
        <v>4</v>
      </c>
      <c r="BA124" s="86" t="s">
        <v>651</v>
      </c>
      <c r="BB124" s="86"/>
      <c r="BD124" s="93" t="s">
        <v>124</v>
      </c>
      <c r="BE124" s="84" t="s">
        <v>182</v>
      </c>
      <c r="BF124" s="83" t="s">
        <v>387</v>
      </c>
      <c r="BG124" s="84" t="s">
        <v>21</v>
      </c>
      <c r="BH124" s="84" t="s">
        <v>81</v>
      </c>
      <c r="BI124" s="84" t="s">
        <v>231</v>
      </c>
      <c r="BJ124" s="89">
        <f t="shared" si="134"/>
        <v>11.75</v>
      </c>
      <c r="BK124" s="84" t="s">
        <v>652</v>
      </c>
      <c r="BL124" s="84">
        <v>99</v>
      </c>
      <c r="BM124" s="88">
        <v>8.25</v>
      </c>
      <c r="BN124" s="82" t="s">
        <v>379</v>
      </c>
      <c r="BO124" s="84" t="s">
        <v>382</v>
      </c>
      <c r="BP124" s="84" t="s">
        <v>64</v>
      </c>
      <c r="BQ124" s="63"/>
      <c r="BR124" s="179" t="s">
        <v>655</v>
      </c>
      <c r="BS124" s="63" t="s">
        <v>679</v>
      </c>
      <c r="BU124" s="86"/>
      <c r="BV124" s="86"/>
      <c r="BW124" s="90"/>
      <c r="BX124" s="86"/>
      <c r="BY124" s="86"/>
      <c r="CC124" s="100"/>
      <c r="CD124" s="100"/>
      <c r="CE124" s="90"/>
      <c r="CF124" s="86"/>
      <c r="CG124" s="86"/>
      <c r="CK124" s="86"/>
      <c r="CL124" s="86"/>
      <c r="CM124" s="86"/>
      <c r="CN124" s="86"/>
      <c r="CO124" s="86"/>
      <c r="CR124" s="84" t="s">
        <v>573</v>
      </c>
      <c r="CS124" s="86">
        <v>7</v>
      </c>
      <c r="CT124" s="86">
        <v>1</v>
      </c>
      <c r="CU124" s="86">
        <v>1.4142135623730951</v>
      </c>
      <c r="CV124" s="86">
        <v>2</v>
      </c>
      <c r="CW124" s="86">
        <v>2</v>
      </c>
      <c r="CX124" s="82" t="s">
        <v>653</v>
      </c>
      <c r="CY124" s="82" t="s">
        <v>654</v>
      </c>
      <c r="CZ124" s="84" t="s">
        <v>80</v>
      </c>
      <c r="DA124" s="82">
        <v>4</v>
      </c>
      <c r="DB124" s="82">
        <v>2</v>
      </c>
      <c r="DC124" s="82">
        <v>2.8284271247461903</v>
      </c>
      <c r="DD124" s="82">
        <v>2</v>
      </c>
      <c r="DE124" s="82">
        <v>2</v>
      </c>
      <c r="DF124" s="82" t="s">
        <v>653</v>
      </c>
      <c r="DG124" s="82" t="s">
        <v>654</v>
      </c>
      <c r="DH124" s="84" t="s">
        <v>573</v>
      </c>
      <c r="DI124" s="82">
        <v>6</v>
      </c>
      <c r="DJ124" s="82">
        <v>1</v>
      </c>
      <c r="DK124" s="82">
        <v>1.4142135623730951</v>
      </c>
      <c r="DL124" s="82">
        <v>2</v>
      </c>
      <c r="DM124" s="82">
        <v>2</v>
      </c>
      <c r="DN124" s="82" t="s">
        <v>653</v>
      </c>
      <c r="DO124" s="82" t="s">
        <v>654</v>
      </c>
      <c r="DP124" s="91" t="s">
        <v>80</v>
      </c>
      <c r="DQ124" s="82">
        <v>4.5</v>
      </c>
      <c r="DR124" s="82">
        <v>1.5</v>
      </c>
      <c r="DS124" s="82">
        <v>2.1213203435596428</v>
      </c>
      <c r="DT124" s="82">
        <v>2</v>
      </c>
      <c r="DU124" s="82">
        <v>2</v>
      </c>
      <c r="DV124" s="82" t="s">
        <v>653</v>
      </c>
      <c r="DW124" s="82" t="s">
        <v>654</v>
      </c>
      <c r="DX124" s="82" t="s">
        <v>1747</v>
      </c>
      <c r="DY124" s="86">
        <f t="shared" si="135"/>
        <v>-1</v>
      </c>
      <c r="DZ124" s="86"/>
      <c r="EA124" s="86">
        <f t="shared" si="136"/>
        <v>2</v>
      </c>
      <c r="EB124" s="86">
        <v>2</v>
      </c>
      <c r="EC124" s="86">
        <v>2</v>
      </c>
      <c r="ED124" s="82" t="s">
        <v>1743</v>
      </c>
      <c r="EE124" s="82" t="s">
        <v>1744</v>
      </c>
      <c r="EF124" s="82" t="s">
        <v>1746</v>
      </c>
      <c r="EG124" s="86">
        <f t="shared" si="137"/>
        <v>0.5</v>
      </c>
      <c r="EH124" s="86"/>
      <c r="EI124" s="86">
        <f t="shared" si="138"/>
        <v>3.5355339059327382</v>
      </c>
      <c r="EJ124" s="86">
        <v>2</v>
      </c>
      <c r="EK124" s="86">
        <v>2</v>
      </c>
      <c r="EL124" s="82" t="s">
        <v>1743</v>
      </c>
      <c r="EM124" s="82" t="s">
        <v>1745</v>
      </c>
      <c r="EN124" s="86">
        <f t="shared" si="139"/>
        <v>-1</v>
      </c>
      <c r="EO124" s="86">
        <f t="shared" si="140"/>
        <v>2</v>
      </c>
      <c r="EP124" s="86">
        <f t="shared" si="140"/>
        <v>2</v>
      </c>
      <c r="EQ124" s="86">
        <f t="shared" si="140"/>
        <v>2</v>
      </c>
      <c r="ER124" s="86">
        <f t="shared" si="141"/>
        <v>0.5</v>
      </c>
      <c r="ES124" s="86">
        <f t="shared" si="142"/>
        <v>3.5355339059327382</v>
      </c>
      <c r="ET124" s="86">
        <f t="shared" si="142"/>
        <v>2</v>
      </c>
      <c r="EU124" s="86">
        <f t="shared" si="142"/>
        <v>2</v>
      </c>
      <c r="EV124" s="86">
        <f t="shared" si="127"/>
        <v>2.8722813232690148</v>
      </c>
      <c r="EW124" s="86">
        <f t="shared" si="128"/>
        <v>-0.52223296786709339</v>
      </c>
      <c r="EX124" s="86">
        <f t="shared" si="129"/>
        <v>1.0340909090909092</v>
      </c>
      <c r="EY124" s="86">
        <f t="shared" si="130"/>
        <v>0.5714285714285714</v>
      </c>
      <c r="EZ124" s="83">
        <f t="shared" si="131"/>
        <v>-0.29841883878119618</v>
      </c>
      <c r="FA124" s="83">
        <f t="shared" si="132"/>
        <v>0.33766233766233766</v>
      </c>
      <c r="FB124" s="83">
        <f t="shared" si="133"/>
        <v>4</v>
      </c>
      <c r="FC124" s="84" t="s">
        <v>125</v>
      </c>
    </row>
    <row r="125" spans="1:159" s="82" customFormat="1" ht="17.100000000000001" customHeight="1">
      <c r="A125" s="78" t="s">
        <v>1820</v>
      </c>
      <c r="B125" s="79" t="s">
        <v>1905</v>
      </c>
      <c r="C125" s="80" t="str">
        <f t="shared" si="71"/>
        <v>McGee, G. G., Leopold, D. J., &amp; Nyland, R. D.  1995.  Understory response to springtime prescribed fire in two New York transition oak forests. Forest Ecology and Management. 76: 149-168.</v>
      </c>
      <c r="D125" s="81" t="s">
        <v>1487</v>
      </c>
      <c r="E125" s="81">
        <v>1995</v>
      </c>
      <c r="F125" s="79" t="s">
        <v>1544</v>
      </c>
      <c r="G125" s="79" t="s">
        <v>20</v>
      </c>
      <c r="H125" s="81">
        <v>76</v>
      </c>
      <c r="I125" s="81" t="s">
        <v>643</v>
      </c>
      <c r="J125" s="79"/>
      <c r="K125" s="82" t="s">
        <v>644</v>
      </c>
      <c r="L125" s="82" t="s">
        <v>18</v>
      </c>
      <c r="M125" s="65" t="s">
        <v>73</v>
      </c>
      <c r="N125" s="63" t="s">
        <v>389</v>
      </c>
      <c r="P125" s="64" t="s">
        <v>16</v>
      </c>
      <c r="Q125" s="63" t="s">
        <v>645</v>
      </c>
      <c r="R125" s="82" t="s">
        <v>1367</v>
      </c>
      <c r="S125" s="79"/>
      <c r="T125" s="79" t="s">
        <v>646</v>
      </c>
      <c r="U125" s="79" t="s">
        <v>647</v>
      </c>
      <c r="V125" s="84">
        <v>42.24</v>
      </c>
      <c r="W125" s="84">
        <v>-75.88</v>
      </c>
      <c r="X125" s="81" t="s">
        <v>648</v>
      </c>
      <c r="Y125" s="66" t="s">
        <v>1897</v>
      </c>
      <c r="Z125" s="66" t="s">
        <v>2203</v>
      </c>
      <c r="AA125" s="97" t="s">
        <v>555</v>
      </c>
      <c r="AB125" s="79" t="s">
        <v>103</v>
      </c>
      <c r="AC125" s="79" t="s">
        <v>135</v>
      </c>
      <c r="AE125" s="82" t="s">
        <v>649</v>
      </c>
      <c r="AF125" s="82" t="s">
        <v>105</v>
      </c>
      <c r="AG125" s="82" t="s">
        <v>92</v>
      </c>
      <c r="AH125" s="82" t="s">
        <v>106</v>
      </c>
      <c r="AI125" s="82" t="s">
        <v>276</v>
      </c>
      <c r="AJ125" s="86">
        <v>2</v>
      </c>
      <c r="AK125" s="86">
        <v>2</v>
      </c>
      <c r="AL125" s="86">
        <v>2</v>
      </c>
      <c r="AM125" s="84" t="s">
        <v>64</v>
      </c>
      <c r="AN125" s="84" t="s">
        <v>526</v>
      </c>
      <c r="AO125" s="84" t="s">
        <v>526</v>
      </c>
      <c r="AP125" s="68" t="s">
        <v>2227</v>
      </c>
      <c r="AQ125" s="82" t="s">
        <v>94</v>
      </c>
      <c r="AR125" s="86">
        <v>4</v>
      </c>
      <c r="AS125" s="159" t="s">
        <v>650</v>
      </c>
      <c r="AT125" s="86"/>
      <c r="AU125" s="111" t="s">
        <v>1166</v>
      </c>
      <c r="AV125" s="88">
        <v>0.1702127659574468</v>
      </c>
      <c r="AW125" s="82" t="s">
        <v>1629</v>
      </c>
      <c r="AX125" s="84" t="s">
        <v>80</v>
      </c>
      <c r="AY125" s="86">
        <v>2</v>
      </c>
      <c r="AZ125" s="86">
        <v>4</v>
      </c>
      <c r="BA125" s="86" t="s">
        <v>651</v>
      </c>
      <c r="BB125" s="86"/>
      <c r="BD125" s="93" t="s">
        <v>124</v>
      </c>
      <c r="BE125" s="84" t="s">
        <v>182</v>
      </c>
      <c r="BF125" s="83" t="s">
        <v>112</v>
      </c>
      <c r="BG125" s="84" t="s">
        <v>21</v>
      </c>
      <c r="BH125" s="84" t="s">
        <v>81</v>
      </c>
      <c r="BI125" s="84" t="s">
        <v>231</v>
      </c>
      <c r="BJ125" s="89">
        <f t="shared" si="134"/>
        <v>11.75</v>
      </c>
      <c r="BK125" s="84" t="s">
        <v>652</v>
      </c>
      <c r="BL125" s="84">
        <v>99</v>
      </c>
      <c r="BM125" s="88">
        <v>8.25</v>
      </c>
      <c r="BN125" s="82" t="s">
        <v>379</v>
      </c>
      <c r="BO125" s="84" t="s">
        <v>382</v>
      </c>
      <c r="BP125" s="84" t="s">
        <v>64</v>
      </c>
      <c r="BQ125" s="63"/>
      <c r="BR125" s="63" t="s">
        <v>2068</v>
      </c>
      <c r="BS125" s="63" t="s">
        <v>2175</v>
      </c>
      <c r="BU125" s="86"/>
      <c r="BV125" s="86"/>
      <c r="BW125" s="90"/>
      <c r="BX125" s="86"/>
      <c r="BY125" s="86"/>
      <c r="CC125" s="100"/>
      <c r="CD125" s="100"/>
      <c r="CE125" s="90"/>
      <c r="CF125" s="86"/>
      <c r="CG125" s="86"/>
      <c r="CK125" s="86"/>
      <c r="CL125" s="86"/>
      <c r="CM125" s="86"/>
      <c r="CN125" s="86"/>
      <c r="CO125" s="86"/>
      <c r="CR125" s="84" t="s">
        <v>573</v>
      </c>
      <c r="CS125" s="86">
        <v>16.5</v>
      </c>
      <c r="CT125" s="86">
        <v>1.5</v>
      </c>
      <c r="CU125" s="86">
        <v>2.1213203435596428</v>
      </c>
      <c r="CV125" s="86">
        <v>2</v>
      </c>
      <c r="CW125" s="86">
        <v>2</v>
      </c>
      <c r="CX125" s="82" t="s">
        <v>653</v>
      </c>
      <c r="CY125" s="82" t="s">
        <v>654</v>
      </c>
      <c r="CZ125" s="84" t="s">
        <v>80</v>
      </c>
      <c r="DA125" s="82">
        <v>12.5</v>
      </c>
      <c r="DB125" s="82">
        <v>3.5</v>
      </c>
      <c r="DC125" s="82">
        <v>4.9497474683058327</v>
      </c>
      <c r="DD125" s="82">
        <v>2</v>
      </c>
      <c r="DE125" s="82">
        <v>2</v>
      </c>
      <c r="DF125" s="82" t="s">
        <v>653</v>
      </c>
      <c r="DG125" s="82" t="s">
        <v>654</v>
      </c>
      <c r="DH125" s="84" t="s">
        <v>573</v>
      </c>
      <c r="DI125" s="82">
        <v>17</v>
      </c>
      <c r="DJ125" s="82">
        <v>0</v>
      </c>
      <c r="DK125" s="82">
        <v>0</v>
      </c>
      <c r="DL125" s="82">
        <v>2</v>
      </c>
      <c r="DM125" s="82">
        <v>2</v>
      </c>
      <c r="DN125" s="82" t="s">
        <v>653</v>
      </c>
      <c r="DO125" s="82" t="s">
        <v>654</v>
      </c>
      <c r="DP125" s="91" t="s">
        <v>80</v>
      </c>
      <c r="DQ125" s="82">
        <v>13.5</v>
      </c>
      <c r="DR125" s="82">
        <v>3.5</v>
      </c>
      <c r="DS125" s="82">
        <v>4.9497474683058327</v>
      </c>
      <c r="DT125" s="82">
        <v>2</v>
      </c>
      <c r="DU125" s="82">
        <v>2</v>
      </c>
      <c r="DV125" s="82" t="s">
        <v>653</v>
      </c>
      <c r="DW125" s="82" t="s">
        <v>654</v>
      </c>
      <c r="DX125" s="82" t="s">
        <v>1747</v>
      </c>
      <c r="DY125" s="86">
        <f t="shared" si="135"/>
        <v>0.5</v>
      </c>
      <c r="DZ125" s="86"/>
      <c r="EA125" s="86">
        <f t="shared" si="136"/>
        <v>2.1213203435596428</v>
      </c>
      <c r="EB125" s="86">
        <v>2</v>
      </c>
      <c r="EC125" s="86">
        <v>2</v>
      </c>
      <c r="ED125" s="82" t="s">
        <v>1743</v>
      </c>
      <c r="EE125" s="82" t="s">
        <v>1744</v>
      </c>
      <c r="EF125" s="82" t="s">
        <v>1746</v>
      </c>
      <c r="EG125" s="86">
        <f t="shared" si="137"/>
        <v>1</v>
      </c>
      <c r="EH125" s="86"/>
      <c r="EI125" s="86">
        <f t="shared" si="138"/>
        <v>7</v>
      </c>
      <c r="EJ125" s="86">
        <v>2</v>
      </c>
      <c r="EK125" s="86">
        <v>2</v>
      </c>
      <c r="EL125" s="82" t="s">
        <v>1743</v>
      </c>
      <c r="EM125" s="82" t="s">
        <v>1745</v>
      </c>
      <c r="EN125" s="86">
        <f t="shared" si="139"/>
        <v>0.5</v>
      </c>
      <c r="EO125" s="86">
        <f t="shared" si="140"/>
        <v>2.1213203435596428</v>
      </c>
      <c r="EP125" s="86">
        <f t="shared" si="140"/>
        <v>2</v>
      </c>
      <c r="EQ125" s="86">
        <f t="shared" si="140"/>
        <v>2</v>
      </c>
      <c r="ER125" s="86">
        <f t="shared" si="141"/>
        <v>1</v>
      </c>
      <c r="ES125" s="86">
        <f t="shared" si="142"/>
        <v>7</v>
      </c>
      <c r="ET125" s="86">
        <f t="shared" si="142"/>
        <v>2</v>
      </c>
      <c r="EU125" s="86">
        <f t="shared" si="142"/>
        <v>2</v>
      </c>
      <c r="EV125" s="86">
        <f t="shared" si="127"/>
        <v>5.1720402163943007</v>
      </c>
      <c r="EW125" s="86">
        <f t="shared" si="128"/>
        <v>-9.6673648904566353E-2</v>
      </c>
      <c r="EX125" s="86">
        <f t="shared" si="129"/>
        <v>1.0011682242990654</v>
      </c>
      <c r="EY125" s="86">
        <f t="shared" si="130"/>
        <v>0.5714285714285714</v>
      </c>
      <c r="EZ125" s="83">
        <f t="shared" si="131"/>
        <v>-5.5242085088323629E-2</v>
      </c>
      <c r="FA125" s="83">
        <f t="shared" si="132"/>
        <v>0.32691207324051114</v>
      </c>
      <c r="FB125" s="83">
        <f t="shared" si="133"/>
        <v>4</v>
      </c>
      <c r="FC125" s="84" t="s">
        <v>125</v>
      </c>
    </row>
    <row r="126" spans="1:159" s="82" customFormat="1" ht="17.100000000000001" customHeight="1">
      <c r="A126" s="78" t="s">
        <v>1820</v>
      </c>
      <c r="B126" s="79" t="s">
        <v>1904</v>
      </c>
      <c r="C126" s="80" t="str">
        <f t="shared" si="71"/>
        <v>McGee, G. G., Leopold, D. J., &amp; Nyland, R. D.  1995.  Understory response to springtime prescribed fire in two New York transition oak forests. Forest Ecology and Management. 76: 149-168.</v>
      </c>
      <c r="D126" s="81" t="s">
        <v>1487</v>
      </c>
      <c r="E126" s="81">
        <v>1995</v>
      </c>
      <c r="F126" s="79" t="s">
        <v>1544</v>
      </c>
      <c r="G126" s="79" t="s">
        <v>20</v>
      </c>
      <c r="H126" s="81">
        <v>76</v>
      </c>
      <c r="I126" s="81" t="s">
        <v>643</v>
      </c>
      <c r="J126" s="79"/>
      <c r="K126" s="82" t="s">
        <v>644</v>
      </c>
      <c r="L126" s="82" t="s">
        <v>18</v>
      </c>
      <c r="M126" s="65" t="s">
        <v>73</v>
      </c>
      <c r="N126" s="63" t="s">
        <v>389</v>
      </c>
      <c r="P126" s="64" t="s">
        <v>16</v>
      </c>
      <c r="Q126" s="63" t="s">
        <v>645</v>
      </c>
      <c r="R126" s="82" t="s">
        <v>1367</v>
      </c>
      <c r="S126" s="79"/>
      <c r="T126" s="79" t="s">
        <v>646</v>
      </c>
      <c r="U126" s="79" t="s">
        <v>647</v>
      </c>
      <c r="V126" s="84">
        <v>42.24</v>
      </c>
      <c r="W126" s="84">
        <v>-75.88</v>
      </c>
      <c r="X126" s="81" t="s">
        <v>648</v>
      </c>
      <c r="Y126" s="66" t="s">
        <v>1897</v>
      </c>
      <c r="Z126" s="66" t="s">
        <v>2203</v>
      </c>
      <c r="AA126" s="97" t="s">
        <v>555</v>
      </c>
      <c r="AB126" s="79" t="s">
        <v>103</v>
      </c>
      <c r="AC126" s="79" t="s">
        <v>135</v>
      </c>
      <c r="AE126" s="82" t="s">
        <v>649</v>
      </c>
      <c r="AF126" s="82" t="s">
        <v>105</v>
      </c>
      <c r="AG126" s="82" t="s">
        <v>92</v>
      </c>
      <c r="AH126" s="82" t="s">
        <v>106</v>
      </c>
      <c r="AI126" s="82" t="s">
        <v>276</v>
      </c>
      <c r="AJ126" s="86">
        <v>2</v>
      </c>
      <c r="AK126" s="86">
        <v>1</v>
      </c>
      <c r="AL126" s="86">
        <v>1</v>
      </c>
      <c r="AM126" s="84" t="s">
        <v>64</v>
      </c>
      <c r="AN126" s="84" t="s">
        <v>526</v>
      </c>
      <c r="AO126" s="84" t="s">
        <v>526</v>
      </c>
      <c r="AP126" s="68" t="s">
        <v>2227</v>
      </c>
      <c r="AQ126" s="82" t="s">
        <v>94</v>
      </c>
      <c r="AR126" s="86">
        <v>4</v>
      </c>
      <c r="AS126" s="86" t="s">
        <v>650</v>
      </c>
      <c r="AT126" s="86"/>
      <c r="AU126" s="111" t="s">
        <v>1166</v>
      </c>
      <c r="AV126" s="88">
        <v>8.5106382978723402E-2</v>
      </c>
      <c r="AW126" s="82" t="s">
        <v>1627</v>
      </c>
      <c r="AX126" s="84" t="s">
        <v>80</v>
      </c>
      <c r="AY126" s="86">
        <v>2</v>
      </c>
      <c r="AZ126" s="86">
        <v>4</v>
      </c>
      <c r="BA126" s="86" t="s">
        <v>651</v>
      </c>
      <c r="BB126" s="86"/>
      <c r="BD126" s="93" t="s">
        <v>124</v>
      </c>
      <c r="BE126" s="84" t="s">
        <v>182</v>
      </c>
      <c r="BF126" s="83" t="s">
        <v>2109</v>
      </c>
      <c r="BG126" s="84" t="s">
        <v>21</v>
      </c>
      <c r="BH126" s="84" t="s">
        <v>81</v>
      </c>
      <c r="BI126" s="84" t="s">
        <v>231</v>
      </c>
      <c r="BJ126" s="89">
        <f t="shared" si="134"/>
        <v>11.75</v>
      </c>
      <c r="BK126" s="84" t="s">
        <v>652</v>
      </c>
      <c r="BL126" s="84" t="s">
        <v>652</v>
      </c>
      <c r="BM126" s="88">
        <v>11.75</v>
      </c>
      <c r="BN126" s="82" t="s">
        <v>379</v>
      </c>
      <c r="BO126" s="84" t="s">
        <v>382</v>
      </c>
      <c r="BP126" s="84" t="s">
        <v>64</v>
      </c>
      <c r="BR126" s="63" t="s">
        <v>2118</v>
      </c>
      <c r="BS126" s="180" t="s">
        <v>2160</v>
      </c>
      <c r="BU126" s="86"/>
      <c r="BV126" s="86"/>
      <c r="BW126" s="90"/>
      <c r="BX126" s="86"/>
      <c r="BY126" s="86"/>
      <c r="CC126" s="100"/>
      <c r="CD126" s="100"/>
      <c r="CE126" s="90"/>
      <c r="CF126" s="86"/>
      <c r="CG126" s="86"/>
      <c r="CK126" s="86"/>
      <c r="CL126" s="86"/>
      <c r="CM126" s="86"/>
      <c r="CN126" s="86"/>
      <c r="CO126" s="86"/>
      <c r="CR126" s="84" t="s">
        <v>572</v>
      </c>
      <c r="CS126" s="82">
        <v>34</v>
      </c>
      <c r="CU126" s="82">
        <v>22.638462845343543</v>
      </c>
      <c r="CV126" s="86">
        <v>2</v>
      </c>
      <c r="CW126" s="86">
        <v>2</v>
      </c>
      <c r="CX126" s="82" t="s">
        <v>2119</v>
      </c>
      <c r="CY126" s="82" t="s">
        <v>654</v>
      </c>
      <c r="CZ126" s="84" t="s">
        <v>80</v>
      </c>
      <c r="DA126" s="82">
        <v>21.5</v>
      </c>
      <c r="DC126" s="82">
        <v>6.9641941385920605</v>
      </c>
      <c r="DD126" s="82">
        <v>2</v>
      </c>
      <c r="DE126" s="82">
        <v>2</v>
      </c>
      <c r="DF126" s="82" t="s">
        <v>2119</v>
      </c>
      <c r="DG126" s="82" t="s">
        <v>654</v>
      </c>
      <c r="DH126" s="84" t="s">
        <v>572</v>
      </c>
      <c r="DI126" s="86">
        <v>37</v>
      </c>
      <c r="DJ126" s="86"/>
      <c r="DK126" s="86">
        <v>18.439088914585778</v>
      </c>
      <c r="DL126" s="82">
        <v>2</v>
      </c>
      <c r="DM126" s="82">
        <v>2</v>
      </c>
      <c r="DN126" s="82" t="s">
        <v>653</v>
      </c>
      <c r="DO126" s="82" t="s">
        <v>654</v>
      </c>
      <c r="DP126" s="91" t="s">
        <v>80</v>
      </c>
      <c r="DQ126" s="82">
        <v>26.5</v>
      </c>
      <c r="DS126" s="82">
        <v>6.0415229867972871</v>
      </c>
      <c r="DT126" s="82">
        <v>2</v>
      </c>
      <c r="DU126" s="82">
        <v>2</v>
      </c>
      <c r="DV126" s="82" t="s">
        <v>653</v>
      </c>
      <c r="DW126" s="82" t="s">
        <v>654</v>
      </c>
      <c r="DX126" s="82" t="s">
        <v>1747</v>
      </c>
      <c r="DY126" s="86">
        <f t="shared" si="135"/>
        <v>3</v>
      </c>
      <c r="DZ126" s="86"/>
      <c r="EA126" s="86">
        <f t="shared" si="136"/>
        <v>29.197602641312869</v>
      </c>
      <c r="EB126" s="86">
        <v>2</v>
      </c>
      <c r="EC126" s="86">
        <v>2</v>
      </c>
      <c r="ED126" s="82" t="s">
        <v>1743</v>
      </c>
      <c r="EE126" s="82" t="s">
        <v>1744</v>
      </c>
      <c r="EF126" s="82" t="s">
        <v>1746</v>
      </c>
      <c r="EG126" s="86">
        <f t="shared" si="137"/>
        <v>5</v>
      </c>
      <c r="EH126" s="86"/>
      <c r="EI126" s="86">
        <f t="shared" si="138"/>
        <v>9.2195444572928889</v>
      </c>
      <c r="EJ126" s="86">
        <v>2</v>
      </c>
      <c r="EK126" s="86">
        <v>2</v>
      </c>
      <c r="EL126" s="82" t="s">
        <v>1743</v>
      </c>
      <c r="EM126" s="82" t="s">
        <v>1745</v>
      </c>
      <c r="EN126" s="86">
        <f t="shared" si="139"/>
        <v>3</v>
      </c>
      <c r="EO126" s="86">
        <f t="shared" si="140"/>
        <v>29.197602641312869</v>
      </c>
      <c r="EP126" s="86">
        <f t="shared" si="140"/>
        <v>2</v>
      </c>
      <c r="EQ126" s="86">
        <f t="shared" si="140"/>
        <v>2</v>
      </c>
      <c r="ER126" s="86">
        <f t="shared" si="141"/>
        <v>5</v>
      </c>
      <c r="ES126" s="86">
        <f t="shared" si="142"/>
        <v>9.2195444572928889</v>
      </c>
      <c r="ET126" s="86">
        <f t="shared" si="142"/>
        <v>2</v>
      </c>
      <c r="EU126" s="86">
        <f t="shared" si="142"/>
        <v>2</v>
      </c>
      <c r="EV126" s="86">
        <f t="shared" si="127"/>
        <v>21.650635094610969</v>
      </c>
      <c r="EW126" s="86">
        <f t="shared" si="128"/>
        <v>-9.2376043070340114E-2</v>
      </c>
      <c r="EX126" s="86">
        <f t="shared" si="129"/>
        <v>1.0010666666666668</v>
      </c>
      <c r="EY126" s="86">
        <f t="shared" si="130"/>
        <v>0.5714285714285714</v>
      </c>
      <c r="EZ126" s="83">
        <f t="shared" si="131"/>
        <v>-5.2786310325908636E-2</v>
      </c>
      <c r="FA126" s="83">
        <f t="shared" si="132"/>
        <v>0.32687891156462584</v>
      </c>
      <c r="FB126" s="83">
        <f t="shared" si="133"/>
        <v>4</v>
      </c>
      <c r="FC126" s="84" t="s">
        <v>125</v>
      </c>
    </row>
    <row r="127" spans="1:159" s="82" customFormat="1" ht="17.100000000000001" customHeight="1">
      <c r="A127" s="78" t="s">
        <v>1820</v>
      </c>
      <c r="B127" s="79" t="s">
        <v>1905</v>
      </c>
      <c r="C127" s="80" t="str">
        <f t="shared" si="71"/>
        <v>McGee, G. G., Leopold, D. J., &amp; Nyland, R. D.  1995.  Understory response to springtime prescribed fire in two New York transition oak forests. Forest Ecology and Management. 76: 149-168.</v>
      </c>
      <c r="D127" s="81" t="s">
        <v>1487</v>
      </c>
      <c r="E127" s="81">
        <v>1995</v>
      </c>
      <c r="F127" s="79" t="s">
        <v>1544</v>
      </c>
      <c r="G127" s="79" t="s">
        <v>20</v>
      </c>
      <c r="H127" s="81">
        <v>76</v>
      </c>
      <c r="I127" s="81" t="s">
        <v>643</v>
      </c>
      <c r="J127" s="79"/>
      <c r="K127" s="82" t="s">
        <v>644</v>
      </c>
      <c r="L127" s="82" t="s">
        <v>18</v>
      </c>
      <c r="M127" s="65" t="s">
        <v>73</v>
      </c>
      <c r="N127" s="63" t="s">
        <v>389</v>
      </c>
      <c r="P127" s="64" t="s">
        <v>16</v>
      </c>
      <c r="Q127" s="63" t="s">
        <v>645</v>
      </c>
      <c r="R127" s="82" t="s">
        <v>1367</v>
      </c>
      <c r="S127" s="79"/>
      <c r="T127" s="79" t="s">
        <v>646</v>
      </c>
      <c r="U127" s="79" t="s">
        <v>647</v>
      </c>
      <c r="V127" s="84">
        <v>42.24</v>
      </c>
      <c r="W127" s="84">
        <v>-75.88</v>
      </c>
      <c r="X127" s="81" t="s">
        <v>648</v>
      </c>
      <c r="Y127" s="66" t="s">
        <v>1897</v>
      </c>
      <c r="Z127" s="66" t="s">
        <v>2203</v>
      </c>
      <c r="AA127" s="97" t="s">
        <v>555</v>
      </c>
      <c r="AB127" s="79" t="s">
        <v>103</v>
      </c>
      <c r="AC127" s="79" t="s">
        <v>135</v>
      </c>
      <c r="AE127" s="82" t="s">
        <v>649</v>
      </c>
      <c r="AF127" s="82" t="s">
        <v>105</v>
      </c>
      <c r="AG127" s="82" t="s">
        <v>92</v>
      </c>
      <c r="AH127" s="82" t="s">
        <v>106</v>
      </c>
      <c r="AI127" s="82" t="s">
        <v>276</v>
      </c>
      <c r="AJ127" s="86">
        <v>2</v>
      </c>
      <c r="AK127" s="86">
        <v>2</v>
      </c>
      <c r="AL127" s="86">
        <v>2</v>
      </c>
      <c r="AM127" s="84" t="s">
        <v>64</v>
      </c>
      <c r="AN127" s="84" t="s">
        <v>526</v>
      </c>
      <c r="AO127" s="84" t="s">
        <v>526</v>
      </c>
      <c r="AP127" s="68" t="s">
        <v>2227</v>
      </c>
      <c r="AQ127" s="82" t="s">
        <v>94</v>
      </c>
      <c r="AR127" s="86">
        <v>4</v>
      </c>
      <c r="AS127" s="86" t="s">
        <v>650</v>
      </c>
      <c r="AT127" s="86"/>
      <c r="AU127" s="111" t="s">
        <v>1166</v>
      </c>
      <c r="AV127" s="88">
        <v>0.1702127659574468</v>
      </c>
      <c r="AW127" s="82" t="s">
        <v>1629</v>
      </c>
      <c r="AX127" s="84" t="s">
        <v>80</v>
      </c>
      <c r="AY127" s="86">
        <v>2</v>
      </c>
      <c r="AZ127" s="86">
        <v>4</v>
      </c>
      <c r="BA127" s="86" t="s">
        <v>651</v>
      </c>
      <c r="BB127" s="86"/>
      <c r="BD127" s="93" t="s">
        <v>124</v>
      </c>
      <c r="BE127" s="84" t="s">
        <v>182</v>
      </c>
      <c r="BF127" s="83" t="s">
        <v>2109</v>
      </c>
      <c r="BG127" s="84" t="s">
        <v>21</v>
      </c>
      <c r="BH127" s="84" t="s">
        <v>81</v>
      </c>
      <c r="BI127" s="84" t="s">
        <v>231</v>
      </c>
      <c r="BJ127" s="89">
        <f t="shared" si="134"/>
        <v>11.75</v>
      </c>
      <c r="BK127" s="84" t="s">
        <v>652</v>
      </c>
      <c r="BL127" s="84">
        <v>99</v>
      </c>
      <c r="BM127" s="88">
        <v>8.25</v>
      </c>
      <c r="BN127" s="82" t="s">
        <v>379</v>
      </c>
      <c r="BO127" s="84" t="s">
        <v>382</v>
      </c>
      <c r="BP127" s="84" t="s">
        <v>64</v>
      </c>
      <c r="BQ127" s="63"/>
      <c r="BR127" s="179" t="s">
        <v>2118</v>
      </c>
      <c r="BS127" s="181" t="s">
        <v>2161</v>
      </c>
      <c r="BU127" s="86"/>
      <c r="BV127" s="86"/>
      <c r="BW127" s="90"/>
      <c r="BX127" s="86"/>
      <c r="BY127" s="86"/>
      <c r="CC127" s="100"/>
      <c r="CD127" s="100"/>
      <c r="CE127" s="90"/>
      <c r="CF127" s="86"/>
      <c r="CG127" s="86"/>
      <c r="CK127" s="86"/>
      <c r="CL127" s="86"/>
      <c r="CM127" s="86"/>
      <c r="CN127" s="86"/>
      <c r="CO127" s="86"/>
      <c r="CR127" s="84" t="s">
        <v>573</v>
      </c>
      <c r="CS127" s="82">
        <v>31.5</v>
      </c>
      <c r="CU127" s="82">
        <v>17.734147850968199</v>
      </c>
      <c r="CV127" s="86">
        <v>2</v>
      </c>
      <c r="CW127" s="86">
        <v>2</v>
      </c>
      <c r="CX127" s="82" t="s">
        <v>2119</v>
      </c>
      <c r="CY127" s="82" t="s">
        <v>654</v>
      </c>
      <c r="CZ127" s="84" t="s">
        <v>80</v>
      </c>
      <c r="DA127" s="82">
        <v>21.5</v>
      </c>
      <c r="DC127" s="82">
        <v>6.9641941385920605</v>
      </c>
      <c r="DD127" s="82">
        <v>2</v>
      </c>
      <c r="DE127" s="82">
        <v>2</v>
      </c>
      <c r="DF127" s="82" t="s">
        <v>2119</v>
      </c>
      <c r="DG127" s="82" t="s">
        <v>654</v>
      </c>
      <c r="DH127" s="84" t="s">
        <v>573</v>
      </c>
      <c r="DI127" s="86">
        <v>41.5</v>
      </c>
      <c r="DJ127" s="86"/>
      <c r="DK127" s="86">
        <v>14.916433890176299</v>
      </c>
      <c r="DL127" s="82">
        <v>2</v>
      </c>
      <c r="DM127" s="82">
        <v>2</v>
      </c>
      <c r="DN127" s="82" t="s">
        <v>653</v>
      </c>
      <c r="DO127" s="82" t="s">
        <v>654</v>
      </c>
      <c r="DP127" s="91" t="s">
        <v>80</v>
      </c>
      <c r="DQ127" s="82">
        <v>26.5</v>
      </c>
      <c r="DS127" s="82">
        <v>6.0415229867972871</v>
      </c>
      <c r="DT127" s="82">
        <v>2</v>
      </c>
      <c r="DU127" s="82">
        <v>2</v>
      </c>
      <c r="DV127" s="82" t="s">
        <v>653</v>
      </c>
      <c r="DW127" s="82" t="s">
        <v>654</v>
      </c>
      <c r="DX127" s="82" t="s">
        <v>1747</v>
      </c>
      <c r="DY127" s="86">
        <f t="shared" si="135"/>
        <v>10</v>
      </c>
      <c r="DZ127" s="86"/>
      <c r="EA127" s="86">
        <f t="shared" si="136"/>
        <v>23.173260452512935</v>
      </c>
      <c r="EB127" s="86">
        <v>2</v>
      </c>
      <c r="EC127" s="86">
        <v>2</v>
      </c>
      <c r="ED127" s="82" t="s">
        <v>1743</v>
      </c>
      <c r="EE127" s="82" t="s">
        <v>1744</v>
      </c>
      <c r="EF127" s="82" t="s">
        <v>1746</v>
      </c>
      <c r="EG127" s="86">
        <f t="shared" si="137"/>
        <v>5</v>
      </c>
      <c r="EH127" s="86"/>
      <c r="EI127" s="86">
        <f t="shared" si="138"/>
        <v>9.2195444572928889</v>
      </c>
      <c r="EJ127" s="86">
        <v>2</v>
      </c>
      <c r="EK127" s="86">
        <v>2</v>
      </c>
      <c r="EL127" s="82" t="s">
        <v>1743</v>
      </c>
      <c r="EM127" s="82" t="s">
        <v>1745</v>
      </c>
      <c r="EN127" s="86">
        <f t="shared" si="139"/>
        <v>10</v>
      </c>
      <c r="EO127" s="86">
        <f t="shared" si="140"/>
        <v>23.173260452512935</v>
      </c>
      <c r="EP127" s="86">
        <f t="shared" si="140"/>
        <v>2</v>
      </c>
      <c r="EQ127" s="86">
        <f t="shared" si="140"/>
        <v>2</v>
      </c>
      <c r="ER127" s="86">
        <f t="shared" si="141"/>
        <v>5</v>
      </c>
      <c r="ES127" s="86">
        <f t="shared" si="142"/>
        <v>9.2195444572928889</v>
      </c>
      <c r="ET127" s="86">
        <f t="shared" si="142"/>
        <v>2</v>
      </c>
      <c r="EU127" s="86">
        <f t="shared" si="142"/>
        <v>2</v>
      </c>
      <c r="EV127" s="86">
        <f t="shared" si="127"/>
        <v>17.635192088548397</v>
      </c>
      <c r="EW127" s="86">
        <f t="shared" si="128"/>
        <v>0.28352398856187133</v>
      </c>
      <c r="EX127" s="86">
        <f t="shared" si="129"/>
        <v>1.010048231511254</v>
      </c>
      <c r="EY127" s="86">
        <f t="shared" si="130"/>
        <v>0.5714285714285714</v>
      </c>
      <c r="EZ127" s="83">
        <f t="shared" si="131"/>
        <v>0.16201370774964075</v>
      </c>
      <c r="FA127" s="83">
        <f t="shared" si="132"/>
        <v>0.32981166743224616</v>
      </c>
      <c r="FB127" s="83">
        <f t="shared" si="133"/>
        <v>4</v>
      </c>
      <c r="FC127" s="84" t="s">
        <v>125</v>
      </c>
    </row>
    <row r="128" spans="1:159" s="82" customFormat="1" ht="17.100000000000001" customHeight="1">
      <c r="A128" s="78" t="s">
        <v>2072</v>
      </c>
      <c r="B128" s="81" t="s">
        <v>2073</v>
      </c>
      <c r="C128" s="80" t="str">
        <f t="shared" si="71"/>
        <v>McIver, J., &amp; Macke, E. 2014.  Short-Term Butterfly Response to Sagebrush Steppe Restoration Treatments. Rangeland Ecology and Management. 67 (5): 539-552.</v>
      </c>
      <c r="D128" s="81" t="s">
        <v>2074</v>
      </c>
      <c r="E128" s="81">
        <v>2014</v>
      </c>
      <c r="F128" s="81" t="s">
        <v>2075</v>
      </c>
      <c r="G128" s="81" t="s">
        <v>2076</v>
      </c>
      <c r="H128" s="81" t="s">
        <v>2077</v>
      </c>
      <c r="I128" s="81" t="s">
        <v>2078</v>
      </c>
      <c r="J128" s="81" t="s">
        <v>2079</v>
      </c>
      <c r="K128" s="84" t="s">
        <v>2080</v>
      </c>
      <c r="L128" s="84" t="s">
        <v>101</v>
      </c>
      <c r="M128" s="83" t="s">
        <v>73</v>
      </c>
      <c r="N128" s="84" t="s">
        <v>389</v>
      </c>
      <c r="O128" s="84"/>
      <c r="P128" s="81" t="s">
        <v>16</v>
      </c>
      <c r="Q128" s="84" t="s">
        <v>2081</v>
      </c>
      <c r="R128" s="81"/>
      <c r="S128" s="81" t="s">
        <v>2082</v>
      </c>
      <c r="T128" s="84" t="s">
        <v>2083</v>
      </c>
      <c r="U128" s="81" t="s">
        <v>2084</v>
      </c>
      <c r="V128" s="110">
        <v>41.32</v>
      </c>
      <c r="W128" s="110">
        <v>-116.93</v>
      </c>
      <c r="X128" s="81" t="s">
        <v>2085</v>
      </c>
      <c r="Y128" s="99" t="s">
        <v>2098</v>
      </c>
      <c r="Z128" s="66" t="s">
        <v>2107</v>
      </c>
      <c r="AA128" s="65" t="s">
        <v>49</v>
      </c>
      <c r="AB128" s="84" t="s">
        <v>64</v>
      </c>
      <c r="AC128" s="81" t="s">
        <v>235</v>
      </c>
      <c r="AD128" s="84"/>
      <c r="AE128" s="84" t="s">
        <v>2099</v>
      </c>
      <c r="AF128" s="84" t="s">
        <v>64</v>
      </c>
      <c r="AG128" s="84" t="s">
        <v>92</v>
      </c>
      <c r="AH128" s="84" t="s">
        <v>106</v>
      </c>
      <c r="AI128" s="84" t="s">
        <v>93</v>
      </c>
      <c r="AJ128" s="86">
        <v>9</v>
      </c>
      <c r="AK128" s="86">
        <v>1</v>
      </c>
      <c r="AL128" s="86">
        <v>1</v>
      </c>
      <c r="AM128" s="84" t="s">
        <v>2086</v>
      </c>
      <c r="AN128" s="84" t="s">
        <v>2087</v>
      </c>
      <c r="AO128" s="84" t="s">
        <v>2107</v>
      </c>
      <c r="AP128" s="68" t="s">
        <v>2229</v>
      </c>
      <c r="AQ128" s="84" t="s">
        <v>94</v>
      </c>
      <c r="AR128" s="86">
        <v>1</v>
      </c>
      <c r="AS128" s="86">
        <v>1</v>
      </c>
      <c r="AT128" s="86"/>
      <c r="AU128" s="90"/>
      <c r="AV128" s="88">
        <v>0.33333333333333331</v>
      </c>
      <c r="AW128" s="84" t="s">
        <v>2088</v>
      </c>
      <c r="AX128" s="84" t="s">
        <v>80</v>
      </c>
      <c r="AY128" s="86">
        <v>9</v>
      </c>
      <c r="AZ128" s="86">
        <v>1</v>
      </c>
      <c r="BA128" s="86">
        <v>1</v>
      </c>
      <c r="BB128" s="86"/>
      <c r="BC128" s="84" t="s">
        <v>2089</v>
      </c>
      <c r="BD128" s="93" t="s">
        <v>124</v>
      </c>
      <c r="BE128" s="84" t="s">
        <v>182</v>
      </c>
      <c r="BF128" s="93" t="s">
        <v>118</v>
      </c>
      <c r="BG128" s="84" t="s">
        <v>21</v>
      </c>
      <c r="BH128" s="84" t="s">
        <v>81</v>
      </c>
      <c r="BI128" s="84" t="s">
        <v>2090</v>
      </c>
      <c r="BJ128" s="89">
        <f>36/12</f>
        <v>3</v>
      </c>
      <c r="BK128" s="84" t="s">
        <v>2091</v>
      </c>
      <c r="BL128" s="84" t="s">
        <v>2091</v>
      </c>
      <c r="BM128" s="88">
        <v>3</v>
      </c>
      <c r="BN128" s="84" t="s">
        <v>379</v>
      </c>
      <c r="BO128" s="84" t="s">
        <v>693</v>
      </c>
      <c r="BP128" s="84"/>
      <c r="BQ128" s="84"/>
      <c r="BR128" s="81" t="s">
        <v>2092</v>
      </c>
      <c r="BS128" s="157" t="s">
        <v>2213</v>
      </c>
      <c r="BT128" s="84" t="s">
        <v>572</v>
      </c>
      <c r="BU128" s="86">
        <v>2.1800000000000002</v>
      </c>
      <c r="BV128" s="86">
        <v>0.22</v>
      </c>
      <c r="BW128" s="90">
        <v>0.66</v>
      </c>
      <c r="BX128" s="86">
        <v>9</v>
      </c>
      <c r="BY128" s="86">
        <v>9</v>
      </c>
      <c r="BZ128" s="84" t="s">
        <v>40</v>
      </c>
      <c r="CA128" s="84" t="s">
        <v>2093</v>
      </c>
      <c r="CB128" s="84" t="s">
        <v>80</v>
      </c>
      <c r="CC128" s="86">
        <v>2.11</v>
      </c>
      <c r="CD128" s="86">
        <v>0.22</v>
      </c>
      <c r="CE128" s="90">
        <v>0.66</v>
      </c>
      <c r="CF128" s="86">
        <v>9</v>
      </c>
      <c r="CG128" s="86">
        <v>9</v>
      </c>
      <c r="CH128" s="84" t="s">
        <v>40</v>
      </c>
      <c r="CI128" s="84" t="s">
        <v>2094</v>
      </c>
      <c r="CJ128" s="84"/>
      <c r="CK128" s="86"/>
      <c r="CL128" s="86"/>
      <c r="CM128" s="86"/>
      <c r="CN128" s="86"/>
      <c r="CO128" s="86"/>
      <c r="CP128" s="84"/>
      <c r="CQ128" s="84"/>
      <c r="CR128" s="84"/>
      <c r="CS128" s="86"/>
      <c r="CT128" s="86"/>
      <c r="CU128" s="86"/>
      <c r="CV128" s="86"/>
      <c r="CW128" s="86"/>
      <c r="CX128" s="84"/>
      <c r="CY128" s="84"/>
      <c r="CZ128" s="84"/>
      <c r="DF128" s="84"/>
      <c r="DG128" s="84"/>
      <c r="DH128" s="84"/>
      <c r="DO128" s="84"/>
      <c r="DP128" s="84"/>
      <c r="DV128" s="84"/>
      <c r="DW128" s="84"/>
      <c r="DX128" s="84"/>
      <c r="DY128" s="78"/>
      <c r="DZ128" s="86"/>
      <c r="EA128" s="78"/>
      <c r="EB128" s="78"/>
      <c r="EC128" s="78"/>
      <c r="ED128" s="84"/>
      <c r="EE128" s="84"/>
      <c r="EF128" s="84"/>
      <c r="EG128" s="78"/>
      <c r="EH128" s="86"/>
      <c r="EI128" s="78"/>
      <c r="EJ128" s="78"/>
      <c r="EK128" s="78"/>
      <c r="EL128" s="84"/>
      <c r="EM128" s="84"/>
      <c r="EN128" s="86">
        <f>BU128</f>
        <v>2.1800000000000002</v>
      </c>
      <c r="EO128" s="90">
        <f t="shared" ref="EO128:EQ129" si="143">BW128</f>
        <v>0.66</v>
      </c>
      <c r="EP128" s="86">
        <f t="shared" si="143"/>
        <v>9</v>
      </c>
      <c r="EQ128" s="86">
        <f t="shared" si="143"/>
        <v>9</v>
      </c>
      <c r="ER128" s="86">
        <f>CC128</f>
        <v>2.11</v>
      </c>
      <c r="ES128" s="90">
        <f t="shared" ref="ES128:EU129" si="144">CE128</f>
        <v>0.66</v>
      </c>
      <c r="ET128" s="86">
        <f t="shared" si="144"/>
        <v>9</v>
      </c>
      <c r="EU128" s="86">
        <f t="shared" si="144"/>
        <v>9</v>
      </c>
      <c r="EV128" s="86">
        <f t="shared" si="127"/>
        <v>0.66</v>
      </c>
      <c r="EW128" s="86">
        <f t="shared" si="128"/>
        <v>0.10606060606060648</v>
      </c>
      <c r="EX128" s="86">
        <f t="shared" si="129"/>
        <v>0.22253469033772064</v>
      </c>
      <c r="EY128" s="86">
        <f t="shared" si="130"/>
        <v>0.95238095238095233</v>
      </c>
      <c r="EZ128" s="82">
        <f t="shared" si="131"/>
        <v>0.10101010101010141</v>
      </c>
      <c r="FA128" s="82">
        <f t="shared" si="132"/>
        <v>0.20184552411584636</v>
      </c>
      <c r="FB128" s="83">
        <f t="shared" si="133"/>
        <v>18</v>
      </c>
      <c r="FC128" s="84" t="s">
        <v>125</v>
      </c>
    </row>
    <row r="129" spans="1:159" s="82" customFormat="1" ht="17.100000000000001" customHeight="1">
      <c r="A129" s="78" t="s">
        <v>1836</v>
      </c>
      <c r="B129" s="66" t="s">
        <v>2197</v>
      </c>
      <c r="C129" s="80" t="str">
        <f t="shared" si="71"/>
        <v>Dodson, E. K., Metlen, K. L., &amp; Fiedler, C. E.  2007.  Common and uncommon understory species differentially respond to restoration treatments in ponderosa pine/Douglas-fir forests, Montana. Restoration Ecology. 15: 696-708.</v>
      </c>
      <c r="D129" s="91" t="s">
        <v>1504</v>
      </c>
      <c r="E129" s="91">
        <v>2007</v>
      </c>
      <c r="F129" s="96" t="s">
        <v>988</v>
      </c>
      <c r="G129" s="96" t="s">
        <v>989</v>
      </c>
      <c r="H129" s="91">
        <v>15</v>
      </c>
      <c r="I129" s="92" t="s">
        <v>990</v>
      </c>
      <c r="J129" s="79" t="s">
        <v>1581</v>
      </c>
      <c r="K129" s="96" t="s">
        <v>991</v>
      </c>
      <c r="L129" s="82" t="s">
        <v>101</v>
      </c>
      <c r="M129" s="83" t="s">
        <v>73</v>
      </c>
      <c r="N129" s="82" t="s">
        <v>389</v>
      </c>
      <c r="O129" s="82" t="s">
        <v>992</v>
      </c>
      <c r="P129" s="91" t="s">
        <v>16</v>
      </c>
      <c r="Q129" s="96" t="s">
        <v>979</v>
      </c>
      <c r="R129" s="96" t="s">
        <v>980</v>
      </c>
      <c r="S129" s="96" t="s">
        <v>1561</v>
      </c>
      <c r="T129" s="179" t="s">
        <v>981</v>
      </c>
      <c r="U129" s="179" t="s">
        <v>982</v>
      </c>
      <c r="V129" s="91">
        <v>46.88</v>
      </c>
      <c r="W129" s="91">
        <v>-113.43</v>
      </c>
      <c r="X129" s="81" t="s">
        <v>983</v>
      </c>
      <c r="Y129" s="99" t="s">
        <v>1897</v>
      </c>
      <c r="Z129" s="66" t="s">
        <v>2203</v>
      </c>
      <c r="AA129" s="97" t="s">
        <v>49</v>
      </c>
      <c r="AB129" s="79" t="s">
        <v>103</v>
      </c>
      <c r="AC129" s="82" t="s">
        <v>136</v>
      </c>
      <c r="AE129" s="82" t="s">
        <v>984</v>
      </c>
      <c r="AF129" s="82" t="s">
        <v>86</v>
      </c>
      <c r="AG129" s="82" t="s">
        <v>91</v>
      </c>
      <c r="AH129" s="82" t="s">
        <v>106</v>
      </c>
      <c r="AI129" s="82" t="s">
        <v>93</v>
      </c>
      <c r="AJ129" s="86">
        <v>3</v>
      </c>
      <c r="AK129" s="86">
        <v>1</v>
      </c>
      <c r="AL129" s="86">
        <v>1</v>
      </c>
      <c r="AM129" s="84" t="s">
        <v>985</v>
      </c>
      <c r="AN129" s="84" t="s">
        <v>986</v>
      </c>
      <c r="AO129" s="84" t="s">
        <v>2107</v>
      </c>
      <c r="AP129" s="68" t="s">
        <v>2227</v>
      </c>
      <c r="AQ129" s="82" t="s">
        <v>94</v>
      </c>
      <c r="AR129" s="86">
        <v>10</v>
      </c>
      <c r="AS129" s="86">
        <v>12</v>
      </c>
      <c r="AT129" s="86"/>
      <c r="AU129" s="87"/>
      <c r="AV129" s="88">
        <v>0.48</v>
      </c>
      <c r="AX129" s="82" t="s">
        <v>80</v>
      </c>
      <c r="AY129" s="86">
        <v>3</v>
      </c>
      <c r="AZ129" s="86">
        <v>10</v>
      </c>
      <c r="BA129" s="86">
        <v>12</v>
      </c>
      <c r="BB129" s="86"/>
      <c r="BD129" s="83" t="s">
        <v>124</v>
      </c>
      <c r="BE129" s="82" t="s">
        <v>182</v>
      </c>
      <c r="BF129" s="83" t="s">
        <v>121</v>
      </c>
      <c r="BG129" s="82" t="s">
        <v>21</v>
      </c>
      <c r="BH129" s="82" t="s">
        <v>81</v>
      </c>
      <c r="BI129" s="84" t="s">
        <v>987</v>
      </c>
      <c r="BJ129" s="89">
        <f t="shared" ref="BJ129:BJ134" si="145">BK129/12</f>
        <v>2.0833333333333335</v>
      </c>
      <c r="BK129" s="84">
        <v>25</v>
      </c>
      <c r="BL129" s="84">
        <v>25</v>
      </c>
      <c r="BM129" s="88">
        <v>2.0833333333333335</v>
      </c>
      <c r="BN129" s="82" t="s">
        <v>389</v>
      </c>
      <c r="BO129" s="82" t="s">
        <v>382</v>
      </c>
      <c r="BP129" s="82" t="s">
        <v>64</v>
      </c>
      <c r="BR129" s="82" t="s">
        <v>2191</v>
      </c>
      <c r="BS129" s="82" t="s">
        <v>2209</v>
      </c>
      <c r="BT129" s="82" t="s">
        <v>572</v>
      </c>
      <c r="BU129" s="86">
        <v>45.16</v>
      </c>
      <c r="BV129" s="86"/>
      <c r="BW129" s="90">
        <v>1.9364916731037083</v>
      </c>
      <c r="BX129" s="86">
        <v>3</v>
      </c>
      <c r="BY129" s="86">
        <v>3</v>
      </c>
      <c r="BZ129" s="82" t="s">
        <v>1768</v>
      </c>
      <c r="CA129" s="82" t="s">
        <v>1610</v>
      </c>
      <c r="CB129" s="82" t="s">
        <v>80</v>
      </c>
      <c r="CC129" s="86">
        <v>42.81</v>
      </c>
      <c r="CD129" s="86"/>
      <c r="CE129" s="90">
        <v>1.350777553855556</v>
      </c>
      <c r="CF129" s="86">
        <v>3</v>
      </c>
      <c r="CG129" s="86">
        <v>3</v>
      </c>
      <c r="CH129" s="82" t="s">
        <v>1768</v>
      </c>
      <c r="CI129" s="82" t="s">
        <v>1610</v>
      </c>
      <c r="CK129" s="86"/>
      <c r="CL129" s="86"/>
      <c r="CM129" s="86"/>
      <c r="CN129" s="86"/>
      <c r="CO129" s="86"/>
      <c r="CS129" s="86"/>
      <c r="CT129" s="86"/>
      <c r="CU129" s="86"/>
      <c r="CV129" s="86"/>
      <c r="CW129" s="86"/>
      <c r="DQ129" s="79"/>
      <c r="DR129" s="79"/>
      <c r="DY129" s="86"/>
      <c r="DZ129" s="86"/>
      <c r="EA129" s="86"/>
      <c r="EB129" s="86"/>
      <c r="EC129" s="86"/>
      <c r="EG129" s="86"/>
      <c r="EH129" s="86"/>
      <c r="EI129" s="86"/>
      <c r="EJ129" s="86"/>
      <c r="EK129" s="86"/>
      <c r="EN129" s="86">
        <f>BU129</f>
        <v>45.16</v>
      </c>
      <c r="EO129" s="90">
        <f t="shared" si="143"/>
        <v>1.9364916731037083</v>
      </c>
      <c r="EP129" s="86">
        <f t="shared" si="143"/>
        <v>3</v>
      </c>
      <c r="EQ129" s="86">
        <f t="shared" si="143"/>
        <v>3</v>
      </c>
      <c r="ER129" s="86">
        <f>CC129</f>
        <v>42.81</v>
      </c>
      <c r="ES129" s="90">
        <f t="shared" si="144"/>
        <v>1.350777553855556</v>
      </c>
      <c r="ET129" s="86">
        <f t="shared" si="144"/>
        <v>3</v>
      </c>
      <c r="EU129" s="86">
        <f t="shared" si="144"/>
        <v>3</v>
      </c>
      <c r="EV129" s="86">
        <f t="shared" si="127"/>
        <v>1.6695208893571829</v>
      </c>
      <c r="EW129" s="86">
        <f t="shared" si="128"/>
        <v>1.4075894557418906</v>
      </c>
      <c r="EX129" s="86">
        <f t="shared" si="129"/>
        <v>0.83177567299297928</v>
      </c>
      <c r="EY129" s="86">
        <f t="shared" si="130"/>
        <v>0.8</v>
      </c>
      <c r="EZ129" s="83">
        <f t="shared" si="131"/>
        <v>1.1260715645935127</v>
      </c>
      <c r="FA129" s="83">
        <f t="shared" si="132"/>
        <v>0.53233643071550685</v>
      </c>
      <c r="FB129" s="83">
        <f t="shared" si="133"/>
        <v>6</v>
      </c>
      <c r="FC129" s="63" t="s">
        <v>385</v>
      </c>
    </row>
    <row r="130" spans="1:159" s="82" customFormat="1" ht="17.100000000000001" customHeight="1">
      <c r="A130" s="78" t="s">
        <v>1836</v>
      </c>
      <c r="B130" s="66" t="s">
        <v>2198</v>
      </c>
      <c r="C130" s="80" t="str">
        <f t="shared" si="71"/>
        <v>Metlen, K. L., &amp; Fiedler, C. E.  2006.  Restoration treatment effects on the understory of ponderosa pine/Douglas-fir forests in western Montana, USA. Forest Ecology and Management. 222: 355-369.</v>
      </c>
      <c r="D130" s="91" t="s">
        <v>1505</v>
      </c>
      <c r="E130" s="91">
        <v>2006</v>
      </c>
      <c r="F130" s="96" t="s">
        <v>993</v>
      </c>
      <c r="G130" s="96" t="s">
        <v>20</v>
      </c>
      <c r="H130" s="91">
        <v>222</v>
      </c>
      <c r="I130" s="92" t="s">
        <v>994</v>
      </c>
      <c r="J130" s="79" t="s">
        <v>1582</v>
      </c>
      <c r="K130" s="96" t="s">
        <v>995</v>
      </c>
      <c r="L130" s="82" t="s">
        <v>18</v>
      </c>
      <c r="M130" s="83" t="s">
        <v>164</v>
      </c>
      <c r="N130" s="82" t="s">
        <v>389</v>
      </c>
      <c r="P130" s="91" t="s">
        <v>16</v>
      </c>
      <c r="Q130" s="96" t="s">
        <v>979</v>
      </c>
      <c r="R130" s="96" t="s">
        <v>980</v>
      </c>
      <c r="S130" s="96" t="s">
        <v>1561</v>
      </c>
      <c r="T130" s="96" t="s">
        <v>981</v>
      </c>
      <c r="U130" s="96" t="s">
        <v>982</v>
      </c>
      <c r="V130" s="91">
        <v>46.88</v>
      </c>
      <c r="W130" s="91">
        <v>-113.43</v>
      </c>
      <c r="X130" s="81" t="s">
        <v>996</v>
      </c>
      <c r="Y130" s="99" t="s">
        <v>1897</v>
      </c>
      <c r="Z130" s="66" t="s">
        <v>2203</v>
      </c>
      <c r="AA130" s="97" t="s">
        <v>49</v>
      </c>
      <c r="AB130" s="79" t="s">
        <v>103</v>
      </c>
      <c r="AC130" s="82" t="s">
        <v>136</v>
      </c>
      <c r="AE130" s="82" t="s">
        <v>984</v>
      </c>
      <c r="AF130" s="82" t="s">
        <v>86</v>
      </c>
      <c r="AG130" s="82" t="s">
        <v>91</v>
      </c>
      <c r="AH130" s="82" t="s">
        <v>106</v>
      </c>
      <c r="AI130" s="82" t="s">
        <v>93</v>
      </c>
      <c r="AJ130" s="86">
        <v>3</v>
      </c>
      <c r="AK130" s="86">
        <v>1</v>
      </c>
      <c r="AL130" s="86">
        <v>1</v>
      </c>
      <c r="AM130" s="84" t="s">
        <v>985</v>
      </c>
      <c r="AN130" s="84" t="s">
        <v>986</v>
      </c>
      <c r="AO130" s="84" t="s">
        <v>2107</v>
      </c>
      <c r="AP130" s="68" t="s">
        <v>2227</v>
      </c>
      <c r="AQ130" s="82" t="s">
        <v>94</v>
      </c>
      <c r="AR130" s="86">
        <v>10</v>
      </c>
      <c r="AS130" s="86">
        <v>10</v>
      </c>
      <c r="AT130" s="86">
        <v>2</v>
      </c>
      <c r="AU130" s="87"/>
      <c r="AV130" s="88">
        <v>0.48</v>
      </c>
      <c r="AW130" s="63" t="s">
        <v>2206</v>
      </c>
      <c r="AX130" s="82" t="s">
        <v>80</v>
      </c>
      <c r="AY130" s="86">
        <v>3</v>
      </c>
      <c r="AZ130" s="86">
        <v>10</v>
      </c>
      <c r="BA130" s="86">
        <v>10</v>
      </c>
      <c r="BB130" s="86">
        <v>2</v>
      </c>
      <c r="BD130" s="83" t="s">
        <v>124</v>
      </c>
      <c r="BE130" s="82" t="s">
        <v>182</v>
      </c>
      <c r="BF130" s="83" t="s">
        <v>110</v>
      </c>
      <c r="BG130" s="82" t="s">
        <v>21</v>
      </c>
      <c r="BH130" s="82" t="s">
        <v>81</v>
      </c>
      <c r="BI130" s="84" t="s">
        <v>987</v>
      </c>
      <c r="BJ130" s="89">
        <f t="shared" si="145"/>
        <v>2.0833333333333335</v>
      </c>
      <c r="BK130" s="84">
        <v>25</v>
      </c>
      <c r="BL130" s="84">
        <v>25</v>
      </c>
      <c r="BM130" s="88">
        <v>2.0833333333333335</v>
      </c>
      <c r="BN130" s="82" t="s">
        <v>389</v>
      </c>
      <c r="BO130" s="82" t="s">
        <v>382</v>
      </c>
      <c r="BP130" s="82" t="s">
        <v>64</v>
      </c>
      <c r="BR130" s="82" t="s">
        <v>2190</v>
      </c>
      <c r="BS130" s="82" t="s">
        <v>2208</v>
      </c>
      <c r="BU130" s="86"/>
      <c r="BV130" s="86"/>
      <c r="BW130" s="90"/>
      <c r="BX130" s="86"/>
      <c r="BY130" s="86"/>
      <c r="CC130" s="86"/>
      <c r="CD130" s="86"/>
      <c r="CE130" s="90"/>
      <c r="CF130" s="86"/>
      <c r="CG130" s="86"/>
      <c r="CK130" s="86"/>
      <c r="CL130" s="86"/>
      <c r="CM130" s="86"/>
      <c r="CN130" s="86"/>
      <c r="CO130" s="86"/>
      <c r="CR130" s="82" t="s">
        <v>572</v>
      </c>
      <c r="CS130" s="86">
        <v>34.5</v>
      </c>
      <c r="CT130" s="86">
        <v>3.9</v>
      </c>
      <c r="CU130" s="86">
        <f>CT130*SQRT(CW130)</f>
        <v>21.361179742701477</v>
      </c>
      <c r="CV130" s="67">
        <v>30</v>
      </c>
      <c r="CW130" s="67">
        <v>30</v>
      </c>
      <c r="CX130" s="63" t="s">
        <v>159</v>
      </c>
      <c r="CY130" s="82" t="s">
        <v>1611</v>
      </c>
      <c r="CZ130" s="82" t="s">
        <v>80</v>
      </c>
      <c r="DA130" s="82">
        <v>36.299999999999997</v>
      </c>
      <c r="DB130" s="82">
        <v>1.3</v>
      </c>
      <c r="DC130" s="86">
        <f>DB130*SQRT(DE130)</f>
        <v>7.1203932475671596</v>
      </c>
      <c r="DD130" s="63">
        <v>30</v>
      </c>
      <c r="DE130" s="63">
        <v>30</v>
      </c>
      <c r="DF130" s="63" t="s">
        <v>159</v>
      </c>
      <c r="DG130" s="82" t="s">
        <v>1611</v>
      </c>
      <c r="DH130" s="82" t="s">
        <v>572</v>
      </c>
      <c r="DI130" s="82">
        <v>59.7</v>
      </c>
      <c r="DJ130" s="82">
        <v>7.1</v>
      </c>
      <c r="DK130" s="86">
        <f>DJ130*SQRT(DM130)</f>
        <v>38.888301582866795</v>
      </c>
      <c r="DL130" s="63">
        <v>30</v>
      </c>
      <c r="DM130" s="63">
        <v>30</v>
      </c>
      <c r="DN130" s="63" t="s">
        <v>159</v>
      </c>
      <c r="DO130" s="82" t="s">
        <v>1611</v>
      </c>
      <c r="DP130" s="82" t="s">
        <v>80</v>
      </c>
      <c r="DQ130" s="79">
        <v>57.3</v>
      </c>
      <c r="DR130" s="79">
        <v>2.7</v>
      </c>
      <c r="DS130" s="86">
        <f>DR130*SQRT(DU130)</f>
        <v>14.788509052639487</v>
      </c>
      <c r="DT130" s="63">
        <v>30</v>
      </c>
      <c r="DU130" s="63">
        <v>30</v>
      </c>
      <c r="DV130" s="63" t="s">
        <v>159</v>
      </c>
      <c r="DW130" s="82" t="s">
        <v>1611</v>
      </c>
      <c r="DX130" s="82" t="s">
        <v>1747</v>
      </c>
      <c r="DY130" s="86">
        <f>DI130-CS130</f>
        <v>25.200000000000003</v>
      </c>
      <c r="DZ130" s="86"/>
      <c r="EA130" s="86">
        <f>SQRT((CU130^2)+(DK130^2))</f>
        <v>44.368908032540084</v>
      </c>
      <c r="EB130" s="67">
        <v>30</v>
      </c>
      <c r="EC130" s="67">
        <v>30</v>
      </c>
      <c r="ED130" s="82" t="s">
        <v>1743</v>
      </c>
      <c r="EE130" s="82" t="s">
        <v>1744</v>
      </c>
      <c r="EF130" s="82" t="s">
        <v>1746</v>
      </c>
      <c r="EG130" s="86">
        <f>DQ130-DA130</f>
        <v>21</v>
      </c>
      <c r="EH130" s="86"/>
      <c r="EI130" s="86">
        <f>SQRT((DS130^2)+(DC130^2))</f>
        <v>16.413409152275467</v>
      </c>
      <c r="EJ130" s="67">
        <v>30</v>
      </c>
      <c r="EK130" s="67">
        <v>30</v>
      </c>
      <c r="EL130" s="82" t="s">
        <v>1743</v>
      </c>
      <c r="EM130" s="82" t="s">
        <v>1745</v>
      </c>
      <c r="EN130" s="86">
        <f>DY130</f>
        <v>25.200000000000003</v>
      </c>
      <c r="EO130" s="86">
        <f t="shared" ref="EO130:EQ133" si="146">EA130</f>
        <v>44.368908032540084</v>
      </c>
      <c r="EP130" s="86">
        <f t="shared" si="146"/>
        <v>30</v>
      </c>
      <c r="EQ130" s="86">
        <f t="shared" si="146"/>
        <v>30</v>
      </c>
      <c r="ER130" s="86">
        <f>EG130</f>
        <v>21</v>
      </c>
      <c r="ES130" s="86">
        <f t="shared" ref="ES130:EU133" si="147">EI130</f>
        <v>16.413409152275467</v>
      </c>
      <c r="ET130" s="86">
        <f t="shared" si="147"/>
        <v>30</v>
      </c>
      <c r="EU130" s="86">
        <f t="shared" si="147"/>
        <v>30</v>
      </c>
      <c r="EV130" s="86">
        <f t="shared" si="127"/>
        <v>33.451457367355459</v>
      </c>
      <c r="EW130" s="86">
        <f t="shared" si="128"/>
        <v>0.1255550678667498</v>
      </c>
      <c r="EX130" s="86">
        <f t="shared" si="129"/>
        <v>6.6798033958891861E-2</v>
      </c>
      <c r="EY130" s="86">
        <f t="shared" si="130"/>
        <v>0.98701298701298701</v>
      </c>
      <c r="EZ130" s="83">
        <f t="shared" si="131"/>
        <v>0.12392448256977903</v>
      </c>
      <c r="FA130" s="83">
        <f t="shared" si="132"/>
        <v>6.5074286413654814E-2</v>
      </c>
      <c r="FB130" s="83">
        <f t="shared" si="133"/>
        <v>60</v>
      </c>
      <c r="FC130" s="63" t="s">
        <v>385</v>
      </c>
    </row>
    <row r="131" spans="1:159" s="82" customFormat="1" ht="17.100000000000001" customHeight="1">
      <c r="A131" s="78" t="s">
        <v>1836</v>
      </c>
      <c r="B131" s="66" t="s">
        <v>2198</v>
      </c>
      <c r="C131" s="80" t="str">
        <f t="shared" si="71"/>
        <v>Metlen, K. L., &amp; Fiedler, C. E.  2006.  Restoration treatment effects on the understory of ponderosa pine/Douglas-fir forests in western Montana, USA. Forest Ecology and Management. 222: 355-369.</v>
      </c>
      <c r="D131" s="91" t="s">
        <v>1505</v>
      </c>
      <c r="E131" s="91">
        <v>2006</v>
      </c>
      <c r="F131" s="96" t="s">
        <v>993</v>
      </c>
      <c r="G131" s="96" t="s">
        <v>20</v>
      </c>
      <c r="H131" s="91">
        <v>222</v>
      </c>
      <c r="I131" s="92" t="s">
        <v>994</v>
      </c>
      <c r="J131" s="79" t="s">
        <v>1582</v>
      </c>
      <c r="K131" s="96" t="s">
        <v>995</v>
      </c>
      <c r="L131" s="82" t="s">
        <v>18</v>
      </c>
      <c r="M131" s="83" t="s">
        <v>164</v>
      </c>
      <c r="N131" s="82" t="s">
        <v>389</v>
      </c>
      <c r="P131" s="91" t="s">
        <v>16</v>
      </c>
      <c r="Q131" s="96" t="s">
        <v>979</v>
      </c>
      <c r="R131" s="96" t="s">
        <v>980</v>
      </c>
      <c r="S131" s="96" t="s">
        <v>1561</v>
      </c>
      <c r="T131" s="96" t="s">
        <v>981</v>
      </c>
      <c r="U131" s="96" t="s">
        <v>982</v>
      </c>
      <c r="V131" s="91">
        <v>46.88</v>
      </c>
      <c r="W131" s="91">
        <v>-113.43</v>
      </c>
      <c r="X131" s="81" t="s">
        <v>996</v>
      </c>
      <c r="Y131" s="99" t="s">
        <v>1897</v>
      </c>
      <c r="Z131" s="66" t="s">
        <v>2203</v>
      </c>
      <c r="AA131" s="97" t="s">
        <v>49</v>
      </c>
      <c r="AB131" s="79" t="s">
        <v>103</v>
      </c>
      <c r="AC131" s="82" t="s">
        <v>136</v>
      </c>
      <c r="AE131" s="82" t="s">
        <v>984</v>
      </c>
      <c r="AF131" s="82" t="s">
        <v>86</v>
      </c>
      <c r="AG131" s="82" t="s">
        <v>91</v>
      </c>
      <c r="AH131" s="82" t="s">
        <v>106</v>
      </c>
      <c r="AI131" s="82" t="s">
        <v>93</v>
      </c>
      <c r="AJ131" s="86">
        <v>3</v>
      </c>
      <c r="AK131" s="86">
        <v>1</v>
      </c>
      <c r="AL131" s="86">
        <v>1</v>
      </c>
      <c r="AM131" s="84" t="s">
        <v>985</v>
      </c>
      <c r="AN131" s="84" t="s">
        <v>986</v>
      </c>
      <c r="AO131" s="84" t="s">
        <v>2107</v>
      </c>
      <c r="AP131" s="68" t="s">
        <v>2227</v>
      </c>
      <c r="AQ131" s="82" t="s">
        <v>94</v>
      </c>
      <c r="AR131" s="86">
        <v>10</v>
      </c>
      <c r="AS131" s="86">
        <v>10</v>
      </c>
      <c r="AT131" s="86">
        <v>2</v>
      </c>
      <c r="AU131" s="87"/>
      <c r="AV131" s="88">
        <v>0.48</v>
      </c>
      <c r="AW131" s="63" t="s">
        <v>2206</v>
      </c>
      <c r="AX131" s="82" t="s">
        <v>80</v>
      </c>
      <c r="AY131" s="86">
        <v>3</v>
      </c>
      <c r="AZ131" s="86">
        <v>10</v>
      </c>
      <c r="BA131" s="86">
        <v>10</v>
      </c>
      <c r="BB131" s="86">
        <v>2</v>
      </c>
      <c r="BD131" s="83" t="s">
        <v>124</v>
      </c>
      <c r="BE131" s="82" t="s">
        <v>182</v>
      </c>
      <c r="BF131" s="83" t="s">
        <v>2101</v>
      </c>
      <c r="BG131" s="82" t="s">
        <v>21</v>
      </c>
      <c r="BH131" s="82" t="s">
        <v>81</v>
      </c>
      <c r="BI131" s="84" t="s">
        <v>987</v>
      </c>
      <c r="BJ131" s="89">
        <f t="shared" si="145"/>
        <v>2.0833333333333335</v>
      </c>
      <c r="BK131" s="84">
        <v>25</v>
      </c>
      <c r="BL131" s="84">
        <v>25</v>
      </c>
      <c r="BM131" s="88">
        <v>2.0833333333333335</v>
      </c>
      <c r="BN131" s="82" t="s">
        <v>389</v>
      </c>
      <c r="BO131" s="82" t="s">
        <v>382</v>
      </c>
      <c r="BP131" s="82" t="s">
        <v>64</v>
      </c>
      <c r="BR131" s="82" t="s">
        <v>2189</v>
      </c>
      <c r="BS131" s="82" t="s">
        <v>2151</v>
      </c>
      <c r="BU131" s="86"/>
      <c r="BV131" s="86"/>
      <c r="BW131" s="90"/>
      <c r="BX131" s="86"/>
      <c r="BY131" s="86"/>
      <c r="CC131" s="86"/>
      <c r="CD131" s="86"/>
      <c r="CE131" s="90"/>
      <c r="CF131" s="86"/>
      <c r="CG131" s="86"/>
      <c r="CK131" s="86"/>
      <c r="CL131" s="86"/>
      <c r="CM131" s="86"/>
      <c r="CN131" s="86"/>
      <c r="CO131" s="86"/>
      <c r="CR131" s="82" t="s">
        <v>572</v>
      </c>
      <c r="CS131" s="86">
        <v>1.6</v>
      </c>
      <c r="CT131" s="86">
        <v>0.8</v>
      </c>
      <c r="CU131" s="86">
        <f>CT131*SQRT(CW131)</f>
        <v>4.3817804600413295</v>
      </c>
      <c r="CV131" s="67">
        <v>30</v>
      </c>
      <c r="CW131" s="67">
        <v>30</v>
      </c>
      <c r="CX131" s="63" t="s">
        <v>159</v>
      </c>
      <c r="CY131" s="82" t="s">
        <v>1611</v>
      </c>
      <c r="CZ131" s="82" t="s">
        <v>80</v>
      </c>
      <c r="DA131" s="82">
        <v>2.2000000000000002</v>
      </c>
      <c r="DB131" s="82">
        <v>0.7</v>
      </c>
      <c r="DC131" s="86">
        <f>DB131*SQRT(DE131)</f>
        <v>3.8340579025361627</v>
      </c>
      <c r="DD131" s="63">
        <v>30</v>
      </c>
      <c r="DE131" s="63">
        <v>30</v>
      </c>
      <c r="DF131" s="63" t="s">
        <v>159</v>
      </c>
      <c r="DG131" s="82" t="s">
        <v>1611</v>
      </c>
      <c r="DH131" s="82" t="s">
        <v>572</v>
      </c>
      <c r="DI131" s="82">
        <v>5.9</v>
      </c>
      <c r="DJ131" s="82">
        <v>2</v>
      </c>
      <c r="DK131" s="86">
        <f>DJ131*SQRT(DM131)</f>
        <v>10.954451150103322</v>
      </c>
      <c r="DL131" s="63">
        <v>30</v>
      </c>
      <c r="DM131" s="63">
        <v>30</v>
      </c>
      <c r="DN131" s="63" t="s">
        <v>159</v>
      </c>
      <c r="DO131" s="82" t="s">
        <v>1611</v>
      </c>
      <c r="DP131" s="82" t="s">
        <v>80</v>
      </c>
      <c r="DQ131" s="82">
        <v>4.4000000000000004</v>
      </c>
      <c r="DR131" s="82">
        <v>0.9</v>
      </c>
      <c r="DS131" s="86">
        <f>DR132*SQRT(DU131)</f>
        <v>9.8590060350929907</v>
      </c>
      <c r="DT131" s="63">
        <v>30</v>
      </c>
      <c r="DU131" s="63">
        <v>30</v>
      </c>
      <c r="DV131" s="63" t="s">
        <v>159</v>
      </c>
      <c r="DW131" s="82" t="s">
        <v>1611</v>
      </c>
      <c r="DX131" s="82" t="s">
        <v>1747</v>
      </c>
      <c r="DY131" s="86">
        <f>DI131-CS131</f>
        <v>4.3000000000000007</v>
      </c>
      <c r="DZ131" s="86"/>
      <c r="EA131" s="86">
        <f>SQRT((CU131^2)+(DK131^2))</f>
        <v>11.798304963002101</v>
      </c>
      <c r="EB131" s="67">
        <v>30</v>
      </c>
      <c r="EC131" s="67">
        <v>30</v>
      </c>
      <c r="ED131" s="82" t="s">
        <v>1743</v>
      </c>
      <c r="EE131" s="82" t="s">
        <v>1744</v>
      </c>
      <c r="EF131" s="82" t="s">
        <v>1746</v>
      </c>
      <c r="EG131" s="86">
        <f>DQ131-DA131</f>
        <v>2.2000000000000002</v>
      </c>
      <c r="EH131" s="86"/>
      <c r="EI131" s="86">
        <f>SQRT((DS131^2)+(DC131^2))</f>
        <v>10.578279633286312</v>
      </c>
      <c r="EJ131" s="67">
        <v>30</v>
      </c>
      <c r="EK131" s="67">
        <v>30</v>
      </c>
      <c r="EL131" s="82" t="s">
        <v>1743</v>
      </c>
      <c r="EM131" s="82" t="s">
        <v>1745</v>
      </c>
      <c r="EN131" s="86">
        <f>DY131</f>
        <v>4.3000000000000007</v>
      </c>
      <c r="EO131" s="86">
        <f t="shared" ref="EO131:EQ132" si="148">EA131</f>
        <v>11.798304963002101</v>
      </c>
      <c r="EP131" s="86">
        <f t="shared" si="148"/>
        <v>30</v>
      </c>
      <c r="EQ131" s="86">
        <f t="shared" si="148"/>
        <v>30</v>
      </c>
      <c r="ER131" s="86">
        <f>EG131</f>
        <v>2.2000000000000002</v>
      </c>
      <c r="ES131" s="86">
        <f t="shared" ref="ES131:EU132" si="149">EI131</f>
        <v>10.578279633286312</v>
      </c>
      <c r="ET131" s="86">
        <f t="shared" si="149"/>
        <v>30</v>
      </c>
      <c r="EU131" s="86">
        <f t="shared" si="149"/>
        <v>30</v>
      </c>
      <c r="EV131" s="86">
        <f>SQRT((((EP131-1)*EO131^2)+((ET131-1)*ES131^2))/((EP131+ET131)-2))</f>
        <v>11.204909638189861</v>
      </c>
      <c r="EW131" s="86">
        <f>(EN131-ER131)/EV131</f>
        <v>0.1874178434105831</v>
      </c>
      <c r="EX131" s="86">
        <f>((EQ131+EU131)/(EQ131*EU131))+((EW131^2)/(2*(EP131+ET131)))</f>
        <v>6.6959378733572286E-2</v>
      </c>
      <c r="EY131" s="86">
        <f>1-(3/((4*(EP131+ET131-2))-1))</f>
        <v>0.98701298701298701</v>
      </c>
      <c r="EZ131" s="83">
        <f>EY131*EW131</f>
        <v>0.1849838454442119</v>
      </c>
      <c r="FA131" s="83">
        <f>(EY131^2)*EX131</f>
        <v>6.5231467627780995E-2</v>
      </c>
      <c r="FB131" s="83">
        <f>EQ131+EU131</f>
        <v>60</v>
      </c>
      <c r="FC131" s="63" t="s">
        <v>385</v>
      </c>
    </row>
    <row r="132" spans="1:159" s="82" customFormat="1" ht="17.100000000000001" customHeight="1">
      <c r="A132" s="78" t="s">
        <v>1836</v>
      </c>
      <c r="B132" s="66" t="s">
        <v>2198</v>
      </c>
      <c r="C132" s="80" t="str">
        <f t="shared" ref="C132:C195" si="150">(D132&amp;" "&amp;E132&amp;".  "&amp;F132&amp;". "&amp;G132&amp;". "&amp;H132&amp;": "&amp;I132&amp;".")</f>
        <v>Metlen, K. L., &amp; Fiedler, C. E.  2006.  Restoration treatment effects on the understory of ponderosa pine/Douglas-fir forests in western Montana, USA. Forest Ecology and Management. 222: 355-369.</v>
      </c>
      <c r="D132" s="91" t="s">
        <v>1505</v>
      </c>
      <c r="E132" s="91">
        <v>2006</v>
      </c>
      <c r="F132" s="96" t="s">
        <v>993</v>
      </c>
      <c r="G132" s="96" t="s">
        <v>20</v>
      </c>
      <c r="H132" s="91">
        <v>222</v>
      </c>
      <c r="I132" s="92" t="s">
        <v>994</v>
      </c>
      <c r="J132" s="79" t="s">
        <v>1582</v>
      </c>
      <c r="K132" s="96" t="s">
        <v>995</v>
      </c>
      <c r="L132" s="82" t="s">
        <v>18</v>
      </c>
      <c r="M132" s="83" t="s">
        <v>164</v>
      </c>
      <c r="N132" s="82" t="s">
        <v>389</v>
      </c>
      <c r="P132" s="91" t="s">
        <v>16</v>
      </c>
      <c r="Q132" s="96" t="s">
        <v>979</v>
      </c>
      <c r="R132" s="96" t="s">
        <v>980</v>
      </c>
      <c r="S132" s="96" t="s">
        <v>1561</v>
      </c>
      <c r="T132" s="96" t="s">
        <v>981</v>
      </c>
      <c r="U132" s="96" t="s">
        <v>982</v>
      </c>
      <c r="V132" s="91">
        <v>46.88</v>
      </c>
      <c r="W132" s="91">
        <v>-113.43</v>
      </c>
      <c r="X132" s="81" t="s">
        <v>996</v>
      </c>
      <c r="Y132" s="99" t="s">
        <v>1897</v>
      </c>
      <c r="Z132" s="66" t="s">
        <v>2203</v>
      </c>
      <c r="AA132" s="97" t="s">
        <v>49</v>
      </c>
      <c r="AB132" s="79" t="s">
        <v>103</v>
      </c>
      <c r="AC132" s="82" t="s">
        <v>136</v>
      </c>
      <c r="AE132" s="82" t="s">
        <v>984</v>
      </c>
      <c r="AF132" s="82" t="s">
        <v>86</v>
      </c>
      <c r="AG132" s="82" t="s">
        <v>91</v>
      </c>
      <c r="AH132" s="82" t="s">
        <v>106</v>
      </c>
      <c r="AI132" s="82" t="s">
        <v>93</v>
      </c>
      <c r="AJ132" s="86">
        <v>3</v>
      </c>
      <c r="AK132" s="86">
        <v>1</v>
      </c>
      <c r="AL132" s="86">
        <v>1</v>
      </c>
      <c r="AM132" s="84" t="s">
        <v>985</v>
      </c>
      <c r="AN132" s="84" t="s">
        <v>986</v>
      </c>
      <c r="AO132" s="84" t="s">
        <v>2107</v>
      </c>
      <c r="AP132" s="68" t="s">
        <v>2227</v>
      </c>
      <c r="AQ132" s="82" t="s">
        <v>94</v>
      </c>
      <c r="AR132" s="86">
        <v>10</v>
      </c>
      <c r="AS132" s="86">
        <v>10</v>
      </c>
      <c r="AT132" s="86">
        <v>2</v>
      </c>
      <c r="AU132" s="87"/>
      <c r="AV132" s="88">
        <v>0.48</v>
      </c>
      <c r="AW132" s="63" t="s">
        <v>2206</v>
      </c>
      <c r="AX132" s="82" t="s">
        <v>80</v>
      </c>
      <c r="AY132" s="86">
        <v>3</v>
      </c>
      <c r="AZ132" s="86">
        <v>10</v>
      </c>
      <c r="BA132" s="86">
        <v>10</v>
      </c>
      <c r="BB132" s="86">
        <v>2</v>
      </c>
      <c r="BD132" s="83" t="s">
        <v>124</v>
      </c>
      <c r="BE132" s="82" t="s">
        <v>182</v>
      </c>
      <c r="BF132" s="83" t="s">
        <v>121</v>
      </c>
      <c r="BG132" s="82" t="s">
        <v>21</v>
      </c>
      <c r="BH132" s="82" t="s">
        <v>81</v>
      </c>
      <c r="BI132" s="84" t="s">
        <v>987</v>
      </c>
      <c r="BJ132" s="89">
        <f t="shared" si="145"/>
        <v>2.0833333333333335</v>
      </c>
      <c r="BK132" s="84">
        <v>25</v>
      </c>
      <c r="BL132" s="84">
        <v>25</v>
      </c>
      <c r="BM132" s="88">
        <v>2.0833333333333335</v>
      </c>
      <c r="BN132" s="82" t="s">
        <v>389</v>
      </c>
      <c r="BO132" s="82" t="s">
        <v>382</v>
      </c>
      <c r="BP132" s="82" t="s">
        <v>64</v>
      </c>
      <c r="BR132" s="82" t="s">
        <v>1044</v>
      </c>
      <c r="BS132" s="82" t="s">
        <v>2207</v>
      </c>
      <c r="BU132" s="86"/>
      <c r="BV132" s="86"/>
      <c r="BW132" s="90"/>
      <c r="BX132" s="86"/>
      <c r="BY132" s="86"/>
      <c r="CC132" s="86"/>
      <c r="CD132" s="86"/>
      <c r="CE132" s="90"/>
      <c r="CF132" s="86"/>
      <c r="CG132" s="86"/>
      <c r="CK132" s="86"/>
      <c r="CL132" s="86"/>
      <c r="CM132" s="86"/>
      <c r="CN132" s="86"/>
      <c r="CO132" s="86"/>
      <c r="CR132" s="82" t="s">
        <v>572</v>
      </c>
      <c r="CS132" s="86">
        <v>34.799999999999997</v>
      </c>
      <c r="CT132" s="86">
        <v>1.7</v>
      </c>
      <c r="CU132" s="86">
        <f>CT132*SQRT(CW132)</f>
        <v>9.311283477587823</v>
      </c>
      <c r="CV132" s="67">
        <v>30</v>
      </c>
      <c r="CW132" s="67">
        <v>30</v>
      </c>
      <c r="CX132" s="63" t="s">
        <v>159</v>
      </c>
      <c r="CY132" s="82" t="s">
        <v>1611</v>
      </c>
      <c r="CZ132" s="82" t="s">
        <v>80</v>
      </c>
      <c r="DA132" s="82">
        <v>34.1</v>
      </c>
      <c r="DB132" s="82">
        <v>0.6</v>
      </c>
      <c r="DC132" s="86">
        <f>DB132*SQRT(DE132)</f>
        <v>3.2863353450309964</v>
      </c>
      <c r="DD132" s="63">
        <v>30</v>
      </c>
      <c r="DE132" s="63">
        <v>30</v>
      </c>
      <c r="DF132" s="63" t="s">
        <v>159</v>
      </c>
      <c r="DG132" s="82" t="s">
        <v>1611</v>
      </c>
      <c r="DH132" s="82" t="s">
        <v>572</v>
      </c>
      <c r="DI132" s="82">
        <v>53.7</v>
      </c>
      <c r="DJ132" s="82">
        <v>5.2</v>
      </c>
      <c r="DK132" s="86">
        <f>DJ132*SQRT(DM132)</f>
        <v>28.481572990268639</v>
      </c>
      <c r="DL132" s="63">
        <v>30</v>
      </c>
      <c r="DM132" s="63">
        <v>30</v>
      </c>
      <c r="DN132" s="63" t="s">
        <v>159</v>
      </c>
      <c r="DO132" s="82" t="s">
        <v>1611</v>
      </c>
      <c r="DP132" s="82" t="s">
        <v>80</v>
      </c>
      <c r="DQ132" s="79">
        <v>52.8</v>
      </c>
      <c r="DR132" s="79">
        <v>1.8</v>
      </c>
      <c r="DS132" s="86">
        <f>DR132*SQRT(DU132)</f>
        <v>9.8590060350929907</v>
      </c>
      <c r="DT132" s="63">
        <v>30</v>
      </c>
      <c r="DU132" s="63">
        <v>30</v>
      </c>
      <c r="DV132" s="63" t="s">
        <v>159</v>
      </c>
      <c r="DW132" s="82" t="s">
        <v>1611</v>
      </c>
      <c r="DX132" s="82" t="s">
        <v>1747</v>
      </c>
      <c r="DY132" s="86">
        <f>DI132-CS132</f>
        <v>18.900000000000006</v>
      </c>
      <c r="DZ132" s="86"/>
      <c r="EA132" s="86">
        <f>SQRT((CU132^2)+(DK132^2))</f>
        <v>29.964979559479097</v>
      </c>
      <c r="EB132" s="67">
        <v>30</v>
      </c>
      <c r="EC132" s="67">
        <v>30</v>
      </c>
      <c r="ED132" s="82" t="s">
        <v>1743</v>
      </c>
      <c r="EE132" s="82" t="s">
        <v>1744</v>
      </c>
      <c r="EF132" s="82" t="s">
        <v>1746</v>
      </c>
      <c r="EG132" s="86">
        <f>DQ132-DA132</f>
        <v>18.699999999999996</v>
      </c>
      <c r="EH132" s="86"/>
      <c r="EI132" s="86">
        <f>SQRT((DS132^2)+(DC132^2))</f>
        <v>10.392304845413264</v>
      </c>
      <c r="EJ132" s="67">
        <v>30</v>
      </c>
      <c r="EK132" s="67">
        <v>30</v>
      </c>
      <c r="EL132" s="82" t="s">
        <v>1743</v>
      </c>
      <c r="EM132" s="82" t="s">
        <v>1745</v>
      </c>
      <c r="EN132" s="86">
        <f>DY132</f>
        <v>18.900000000000006</v>
      </c>
      <c r="EO132" s="86">
        <f t="shared" si="148"/>
        <v>29.964979559479097</v>
      </c>
      <c r="EP132" s="86">
        <f t="shared" si="148"/>
        <v>30</v>
      </c>
      <c r="EQ132" s="86">
        <f t="shared" si="148"/>
        <v>30</v>
      </c>
      <c r="ER132" s="86">
        <f>EG132</f>
        <v>18.699999999999996</v>
      </c>
      <c r="ES132" s="86">
        <f t="shared" si="149"/>
        <v>10.392304845413264</v>
      </c>
      <c r="ET132" s="86">
        <f t="shared" si="149"/>
        <v>30</v>
      </c>
      <c r="EU132" s="86">
        <f t="shared" si="149"/>
        <v>30</v>
      </c>
      <c r="EV132" s="86">
        <f>SQRT((((EP132-1)*EO132^2)+((ET132-1)*ES132^2))/((EP132+ET132)-2))</f>
        <v>22.426546769398094</v>
      </c>
      <c r="EW132" s="86">
        <f>(EN132-ER132)/EV132</f>
        <v>8.9180024930506831E-3</v>
      </c>
      <c r="EX132" s="86">
        <f>((EQ132+EU132)/(EQ132*EU132))+((EW132^2)/(2*(EP132+ET132)))</f>
        <v>6.6667329423070548E-2</v>
      </c>
      <c r="EY132" s="86">
        <f>1-(3/((4*(EP132+ET132-2))-1))</f>
        <v>0.98701298701298701</v>
      </c>
      <c r="EZ132" s="83">
        <f>EY132*EW132</f>
        <v>8.8021842788552195E-3</v>
      </c>
      <c r="FA132" s="83">
        <f>(EY132^2)*EX132</f>
        <v>6.4946954755887243E-2</v>
      </c>
      <c r="FB132" s="83">
        <f>EQ132+EU132</f>
        <v>60</v>
      </c>
      <c r="FC132" s="63" t="s">
        <v>385</v>
      </c>
    </row>
    <row r="133" spans="1:159" s="82" customFormat="1" ht="17.100000000000001" customHeight="1">
      <c r="A133" s="78" t="s">
        <v>1836</v>
      </c>
      <c r="B133" s="66" t="s">
        <v>2199</v>
      </c>
      <c r="C133" s="80" t="str">
        <f t="shared" si="150"/>
        <v>Gundale, M. J., Metlen, K. L., Fiedler, C. E., &amp; DeLuca, T. H.  2006.  Nitrogen spatial heterogeneity influences diversity following restoration in a ponderosa pine forest, Montana.. Ecological Applications. 16 (2): 479-489.</v>
      </c>
      <c r="D133" s="91" t="s">
        <v>1514</v>
      </c>
      <c r="E133" s="91">
        <v>2006</v>
      </c>
      <c r="F133" s="96" t="s">
        <v>1547</v>
      </c>
      <c r="G133" s="96" t="s">
        <v>860</v>
      </c>
      <c r="H133" s="91" t="s">
        <v>1076</v>
      </c>
      <c r="I133" s="91" t="s">
        <v>1077</v>
      </c>
      <c r="J133" s="79" t="s">
        <v>1583</v>
      </c>
      <c r="K133" s="141" t="s">
        <v>1078</v>
      </c>
      <c r="L133" s="82" t="s">
        <v>18</v>
      </c>
      <c r="M133" s="83" t="s">
        <v>164</v>
      </c>
      <c r="N133" s="82" t="s">
        <v>389</v>
      </c>
      <c r="P133" s="91" t="s">
        <v>16</v>
      </c>
      <c r="Q133" s="96" t="s">
        <v>979</v>
      </c>
      <c r="R133" s="96" t="s">
        <v>980</v>
      </c>
      <c r="S133" s="96" t="s">
        <v>1566</v>
      </c>
      <c r="T133" s="96" t="s">
        <v>1079</v>
      </c>
      <c r="U133" s="96" t="s">
        <v>1080</v>
      </c>
      <c r="V133" s="91">
        <v>47</v>
      </c>
      <c r="W133" s="91">
        <v>-113</v>
      </c>
      <c r="X133" s="91"/>
      <c r="Y133" s="107" t="s">
        <v>1897</v>
      </c>
      <c r="Z133" s="66" t="s">
        <v>2203</v>
      </c>
      <c r="AA133" s="97" t="s">
        <v>49</v>
      </c>
      <c r="AB133" s="79" t="s">
        <v>103</v>
      </c>
      <c r="AC133" s="82" t="s">
        <v>235</v>
      </c>
      <c r="AF133" s="82" t="s">
        <v>87</v>
      </c>
      <c r="AG133" s="82" t="s">
        <v>91</v>
      </c>
      <c r="AH133" s="82" t="s">
        <v>106</v>
      </c>
      <c r="AI133" s="82" t="s">
        <v>93</v>
      </c>
      <c r="AJ133" s="86">
        <v>3</v>
      </c>
      <c r="AK133" s="86">
        <v>1</v>
      </c>
      <c r="AL133" s="86">
        <v>1</v>
      </c>
      <c r="AM133" s="84" t="s">
        <v>985</v>
      </c>
      <c r="AN133" s="84" t="s">
        <v>526</v>
      </c>
      <c r="AO133" s="84" t="s">
        <v>526</v>
      </c>
      <c r="AP133" s="68" t="s">
        <v>2227</v>
      </c>
      <c r="AQ133" s="82" t="s">
        <v>94</v>
      </c>
      <c r="AR133" s="86">
        <v>1</v>
      </c>
      <c r="AS133" s="86">
        <v>3</v>
      </c>
      <c r="AT133" s="86">
        <v>12</v>
      </c>
      <c r="AU133" s="87"/>
      <c r="AV133" s="88">
        <v>0.8</v>
      </c>
      <c r="AX133" s="82" t="s">
        <v>80</v>
      </c>
      <c r="AY133" s="86">
        <v>3</v>
      </c>
      <c r="AZ133" s="86">
        <v>1</v>
      </c>
      <c r="BA133" s="86">
        <v>3</v>
      </c>
      <c r="BB133" s="86">
        <v>12</v>
      </c>
      <c r="BD133" s="83" t="s">
        <v>124</v>
      </c>
      <c r="BE133" s="82" t="s">
        <v>182</v>
      </c>
      <c r="BF133" s="83" t="s">
        <v>110</v>
      </c>
      <c r="BG133" s="82" t="s">
        <v>21</v>
      </c>
      <c r="BH133" s="82" t="s">
        <v>22</v>
      </c>
      <c r="BI133" s="84" t="s">
        <v>987</v>
      </c>
      <c r="BJ133" s="89">
        <f t="shared" si="145"/>
        <v>1.25</v>
      </c>
      <c r="BK133" s="84">
        <v>15</v>
      </c>
      <c r="BL133" s="84">
        <v>15</v>
      </c>
      <c r="BM133" s="88">
        <v>1.25</v>
      </c>
      <c r="BN133" s="82" t="s">
        <v>389</v>
      </c>
      <c r="BO133" s="82" t="s">
        <v>856</v>
      </c>
      <c r="BP133" s="82" t="s">
        <v>64</v>
      </c>
      <c r="BR133" s="82" t="s">
        <v>388</v>
      </c>
      <c r="BS133" s="82" t="s">
        <v>388</v>
      </c>
      <c r="BU133" s="90"/>
      <c r="BV133" s="90"/>
      <c r="BW133" s="90"/>
      <c r="BX133" s="86"/>
      <c r="BY133" s="86"/>
      <c r="CC133" s="90"/>
      <c r="CD133" s="90"/>
      <c r="CE133" s="90"/>
      <c r="CF133" s="86"/>
      <c r="CG133" s="86"/>
      <c r="CK133" s="86"/>
      <c r="CL133" s="86"/>
      <c r="CM133" s="86"/>
      <c r="CN133" s="86"/>
      <c r="CO133" s="86"/>
      <c r="CS133" s="86"/>
      <c r="CT133" s="86"/>
      <c r="CU133" s="86"/>
      <c r="CV133" s="86"/>
      <c r="CW133" s="86"/>
      <c r="DX133" s="82" t="s">
        <v>572</v>
      </c>
      <c r="DY133" s="86">
        <v>21.78</v>
      </c>
      <c r="DZ133" s="86">
        <v>5.49</v>
      </c>
      <c r="EA133" s="86">
        <v>5.49</v>
      </c>
      <c r="EB133" s="86">
        <v>3</v>
      </c>
      <c r="EC133" s="86">
        <v>3</v>
      </c>
      <c r="ED133" s="82" t="s">
        <v>186</v>
      </c>
      <c r="EE133" s="82" t="s">
        <v>1081</v>
      </c>
      <c r="EF133" s="82" t="s">
        <v>80</v>
      </c>
      <c r="EG133" s="86">
        <v>17.3</v>
      </c>
      <c r="EH133" s="86">
        <v>3.48</v>
      </c>
      <c r="EI133" s="86">
        <v>5.49</v>
      </c>
      <c r="EJ133" s="86">
        <v>3</v>
      </c>
      <c r="EK133" s="86">
        <v>3</v>
      </c>
      <c r="EL133" s="82" t="s">
        <v>186</v>
      </c>
      <c r="EM133" s="82" t="s">
        <v>1081</v>
      </c>
      <c r="EN133" s="86">
        <f>DY133</f>
        <v>21.78</v>
      </c>
      <c r="EO133" s="86">
        <f t="shared" si="146"/>
        <v>5.49</v>
      </c>
      <c r="EP133" s="86">
        <f t="shared" si="146"/>
        <v>3</v>
      </c>
      <c r="EQ133" s="86">
        <f t="shared" si="146"/>
        <v>3</v>
      </c>
      <c r="ER133" s="86">
        <f>EG133</f>
        <v>17.3</v>
      </c>
      <c r="ES133" s="86">
        <f t="shared" si="147"/>
        <v>5.49</v>
      </c>
      <c r="ET133" s="86">
        <f t="shared" si="147"/>
        <v>3</v>
      </c>
      <c r="EU133" s="86">
        <f t="shared" si="147"/>
        <v>3</v>
      </c>
      <c r="EV133" s="86">
        <f t="shared" si="127"/>
        <v>5.49</v>
      </c>
      <c r="EW133" s="86">
        <f t="shared" si="128"/>
        <v>0.81602914389799641</v>
      </c>
      <c r="EX133" s="86">
        <f t="shared" si="129"/>
        <v>0.72215863030757466</v>
      </c>
      <c r="EY133" s="86">
        <f t="shared" si="130"/>
        <v>0.8</v>
      </c>
      <c r="EZ133" s="83">
        <f t="shared" si="131"/>
        <v>0.6528233151183972</v>
      </c>
      <c r="FA133" s="83">
        <f t="shared" si="132"/>
        <v>0.46218152339684787</v>
      </c>
      <c r="FB133" s="83">
        <f t="shared" si="133"/>
        <v>6</v>
      </c>
      <c r="FC133" s="82" t="s">
        <v>385</v>
      </c>
    </row>
    <row r="134" spans="1:159" s="82" customFormat="1" ht="17.100000000000001" customHeight="1">
      <c r="A134" s="78" t="s">
        <v>1828</v>
      </c>
      <c r="B134" s="79" t="s">
        <v>311</v>
      </c>
      <c r="C134" s="80" t="str">
        <f t="shared" si="150"/>
        <v>Myers, J. A., Chase, J. M., Crandall, R. M., &amp; Jiménez, I. ( 2015.  Disturbance alters beta-diversity but not the relative importance of community assembly mechanisms. Journal of Ecology. 103: 1291-1299.</v>
      </c>
      <c r="D134" s="81" t="s">
        <v>1494</v>
      </c>
      <c r="E134" s="81">
        <v>2015</v>
      </c>
      <c r="F134" s="79" t="s">
        <v>450</v>
      </c>
      <c r="G134" s="79" t="s">
        <v>449</v>
      </c>
      <c r="H134" s="81">
        <v>103</v>
      </c>
      <c r="I134" s="81" t="s">
        <v>444</v>
      </c>
      <c r="J134" s="79"/>
      <c r="K134" s="79" t="s">
        <v>445</v>
      </c>
      <c r="L134" s="82" t="s">
        <v>101</v>
      </c>
      <c r="M134" s="83" t="s">
        <v>73</v>
      </c>
      <c r="N134" s="82" t="s">
        <v>389</v>
      </c>
      <c r="P134" s="81" t="s">
        <v>16</v>
      </c>
      <c r="Q134" s="79" t="s">
        <v>130</v>
      </c>
      <c r="R134" s="79" t="s">
        <v>446</v>
      </c>
      <c r="S134" s="79"/>
      <c r="T134" s="79" t="s">
        <v>447</v>
      </c>
      <c r="U134" s="79" t="s">
        <v>448</v>
      </c>
      <c r="V134" s="81">
        <v>42.64</v>
      </c>
      <c r="W134" s="81">
        <v>-92.67</v>
      </c>
      <c r="X134" s="103"/>
      <c r="Y134" s="99" t="s">
        <v>1896</v>
      </c>
      <c r="Z134" s="66" t="s">
        <v>2203</v>
      </c>
      <c r="AA134" s="83" t="s">
        <v>555</v>
      </c>
      <c r="AB134" s="82" t="s">
        <v>64</v>
      </c>
      <c r="AC134" s="82" t="s">
        <v>235</v>
      </c>
      <c r="AF134" s="82" t="s">
        <v>156</v>
      </c>
      <c r="AG134" s="82" t="s">
        <v>91</v>
      </c>
      <c r="AH134" s="82" t="s">
        <v>106</v>
      </c>
      <c r="AI134" s="82" t="s">
        <v>93</v>
      </c>
      <c r="AJ134" s="86">
        <v>3</v>
      </c>
      <c r="AK134" s="86" t="s">
        <v>455</v>
      </c>
      <c r="AL134" s="86">
        <v>5.5</v>
      </c>
      <c r="AM134" s="84" t="s">
        <v>452</v>
      </c>
      <c r="AN134" s="84" t="s">
        <v>64</v>
      </c>
      <c r="AO134" s="84" t="s">
        <v>64</v>
      </c>
      <c r="AP134" s="68" t="s">
        <v>64</v>
      </c>
      <c r="AQ134" s="82" t="s">
        <v>88</v>
      </c>
      <c r="AR134" s="86">
        <v>4</v>
      </c>
      <c r="AS134" s="86" t="s">
        <v>454</v>
      </c>
      <c r="AT134" s="86"/>
      <c r="AU134" s="87">
        <v>14</v>
      </c>
      <c r="AV134" s="88">
        <v>0.39285714285714285</v>
      </c>
      <c r="AW134" s="82" t="s">
        <v>453</v>
      </c>
      <c r="AX134" s="82" t="s">
        <v>80</v>
      </c>
      <c r="AY134" s="86">
        <v>3</v>
      </c>
      <c r="AZ134" s="86">
        <v>4</v>
      </c>
      <c r="BA134" s="86" t="s">
        <v>454</v>
      </c>
      <c r="BB134" s="86"/>
      <c r="BD134" s="83" t="s">
        <v>124</v>
      </c>
      <c r="BE134" s="82" t="s">
        <v>182</v>
      </c>
      <c r="BF134" s="83" t="s">
        <v>387</v>
      </c>
      <c r="BG134" s="82" t="s">
        <v>21</v>
      </c>
      <c r="BH134" s="82" t="s">
        <v>81</v>
      </c>
      <c r="BI134" s="84" t="s">
        <v>456</v>
      </c>
      <c r="BJ134" s="89">
        <f t="shared" si="145"/>
        <v>14</v>
      </c>
      <c r="BK134" s="84" t="s">
        <v>215</v>
      </c>
      <c r="BL134" s="84" t="s">
        <v>457</v>
      </c>
      <c r="BM134" s="88">
        <v>2.5</v>
      </c>
      <c r="BN134" s="82" t="s">
        <v>379</v>
      </c>
      <c r="BO134" s="82" t="s">
        <v>361</v>
      </c>
      <c r="BP134" s="82" t="s">
        <v>64</v>
      </c>
      <c r="BR134" s="82" t="s">
        <v>458</v>
      </c>
      <c r="BS134" s="82" t="s">
        <v>2137</v>
      </c>
      <c r="BT134" s="82" t="s">
        <v>1262</v>
      </c>
      <c r="BU134" s="86">
        <v>5.72</v>
      </c>
      <c r="BV134" s="86">
        <v>0.49</v>
      </c>
      <c r="BW134" s="90">
        <v>3.359</v>
      </c>
      <c r="BX134" s="86">
        <v>47</v>
      </c>
      <c r="BY134" s="86">
        <v>47</v>
      </c>
      <c r="BZ134" s="82" t="s">
        <v>459</v>
      </c>
      <c r="CA134" s="82" t="s">
        <v>1376</v>
      </c>
      <c r="CB134" s="82" t="s">
        <v>80</v>
      </c>
      <c r="CC134" s="86">
        <v>8.93</v>
      </c>
      <c r="CD134" s="86">
        <v>0.5</v>
      </c>
      <c r="CE134" s="69">
        <v>3.391</v>
      </c>
      <c r="CF134" s="86">
        <v>46</v>
      </c>
      <c r="CG134" s="86">
        <v>46</v>
      </c>
      <c r="CH134" s="82" t="s">
        <v>459</v>
      </c>
      <c r="CI134" s="82" t="s">
        <v>461</v>
      </c>
      <c r="CK134" s="86"/>
      <c r="CL134" s="86"/>
      <c r="CM134" s="86"/>
      <c r="CN134" s="86"/>
      <c r="CO134" s="86"/>
      <c r="CS134" s="86"/>
      <c r="CT134" s="86"/>
      <c r="CU134" s="86"/>
      <c r="CV134" s="86"/>
      <c r="CW134" s="86"/>
      <c r="DY134" s="86"/>
      <c r="DZ134" s="86"/>
      <c r="EA134" s="86"/>
      <c r="EB134" s="86"/>
      <c r="EC134" s="86"/>
      <c r="EG134" s="86"/>
      <c r="EH134" s="86"/>
      <c r="EI134" s="86"/>
      <c r="EJ134" s="86"/>
      <c r="EK134" s="86"/>
      <c r="EN134" s="86">
        <f>BU134</f>
        <v>5.72</v>
      </c>
      <c r="EO134" s="90">
        <f t="shared" ref="EO134:EQ138" si="151">BW134</f>
        <v>3.359</v>
      </c>
      <c r="EP134" s="86">
        <f t="shared" si="151"/>
        <v>47</v>
      </c>
      <c r="EQ134" s="86">
        <f t="shared" si="151"/>
        <v>47</v>
      </c>
      <c r="ER134" s="86">
        <f>CC134</f>
        <v>8.93</v>
      </c>
      <c r="ES134" s="90">
        <f t="shared" ref="ES134:EU138" si="152">CE134</f>
        <v>3.391</v>
      </c>
      <c r="ET134" s="86">
        <f t="shared" si="152"/>
        <v>46</v>
      </c>
      <c r="EU134" s="86">
        <f t="shared" si="152"/>
        <v>46</v>
      </c>
      <c r="EV134" s="86">
        <f t="shared" si="127"/>
        <v>3.3748620989328124</v>
      </c>
      <c r="EW134" s="86">
        <f t="shared" si="128"/>
        <v>-0.95114997469527873</v>
      </c>
      <c r="EX134" s="86">
        <f t="shared" si="129"/>
        <v>4.7879630880338891E-2</v>
      </c>
      <c r="EY134" s="86">
        <f t="shared" si="130"/>
        <v>0.99173553719008267</v>
      </c>
      <c r="EZ134" s="83">
        <f t="shared" si="131"/>
        <v>-0.94328923110275575</v>
      </c>
      <c r="FA134" s="83">
        <f t="shared" si="132"/>
        <v>4.7091502266025549E-2</v>
      </c>
      <c r="FB134" s="83">
        <f t="shared" si="133"/>
        <v>93</v>
      </c>
      <c r="FC134" s="82" t="s">
        <v>125</v>
      </c>
    </row>
    <row r="135" spans="1:159" s="82" customFormat="1" ht="17.100000000000001" customHeight="1">
      <c r="A135" s="78" t="s">
        <v>1826</v>
      </c>
      <c r="B135" s="79" t="s">
        <v>490</v>
      </c>
      <c r="C135" s="80" t="str">
        <f t="shared" si="150"/>
        <v>Neill, C., Von Holle, B., Kleese, K., Ivy, K. D., Colllins, A. R., Treat, C., &amp; Dean, M. 2007.  Historical influences on the vegetation and soils of the Martha's Vineyard, Massachusetts coastal sandplain: Implications for conservation and restoration. Biological Conservation. 136 (1): 17-32.</v>
      </c>
      <c r="D135" s="81" t="s">
        <v>1492</v>
      </c>
      <c r="E135" s="81">
        <v>2007</v>
      </c>
      <c r="F135" s="79" t="s">
        <v>1546</v>
      </c>
      <c r="G135" s="79" t="s">
        <v>127</v>
      </c>
      <c r="H135" s="81" t="s">
        <v>491</v>
      </c>
      <c r="I135" s="81" t="s">
        <v>492</v>
      </c>
      <c r="J135" s="79"/>
      <c r="K135" s="79" t="s">
        <v>493</v>
      </c>
      <c r="L135" s="79" t="s">
        <v>101</v>
      </c>
      <c r="M135" s="83" t="s">
        <v>73</v>
      </c>
      <c r="N135" s="82" t="s">
        <v>389</v>
      </c>
      <c r="P135" s="81" t="s">
        <v>16</v>
      </c>
      <c r="Q135" s="79" t="s">
        <v>494</v>
      </c>
      <c r="R135" s="79" t="s">
        <v>495</v>
      </c>
      <c r="S135" s="79"/>
      <c r="T135" s="79" t="s">
        <v>1411</v>
      </c>
      <c r="U135" s="79" t="s">
        <v>1412</v>
      </c>
      <c r="V135" s="81">
        <v>41.375</v>
      </c>
      <c r="W135" s="81">
        <v>-70.599999999999994</v>
      </c>
      <c r="X135" s="81"/>
      <c r="Y135" s="99" t="s">
        <v>1897</v>
      </c>
      <c r="Z135" s="66" t="s">
        <v>2203</v>
      </c>
      <c r="AA135" s="97" t="s">
        <v>555</v>
      </c>
      <c r="AB135" s="79" t="s">
        <v>64</v>
      </c>
      <c r="AC135" s="79" t="s">
        <v>235</v>
      </c>
      <c r="AF135" s="82" t="s">
        <v>64</v>
      </c>
      <c r="AG135" s="82" t="s">
        <v>92</v>
      </c>
      <c r="AH135" s="82" t="s">
        <v>107</v>
      </c>
      <c r="AI135" s="82" t="s">
        <v>276</v>
      </c>
      <c r="AJ135" s="86">
        <v>5</v>
      </c>
      <c r="AK135" s="86" t="s">
        <v>64</v>
      </c>
      <c r="AL135" s="86" t="s">
        <v>64</v>
      </c>
      <c r="AM135" s="84" t="s">
        <v>64</v>
      </c>
      <c r="AN135" s="84" t="s">
        <v>64</v>
      </c>
      <c r="AO135" s="84" t="s">
        <v>64</v>
      </c>
      <c r="AP135" s="68" t="s">
        <v>64</v>
      </c>
      <c r="AQ135" s="82" t="s">
        <v>64</v>
      </c>
      <c r="AR135" s="86">
        <v>1</v>
      </c>
      <c r="AS135" s="86">
        <v>1</v>
      </c>
      <c r="AT135" s="86"/>
      <c r="AU135" s="87" t="s">
        <v>64</v>
      </c>
      <c r="AV135" s="88" t="s">
        <v>64</v>
      </c>
      <c r="AW135" s="82" t="s">
        <v>2070</v>
      </c>
      <c r="AX135" s="82" t="s">
        <v>80</v>
      </c>
      <c r="AY135" s="86">
        <v>5</v>
      </c>
      <c r="AZ135" s="86">
        <v>1</v>
      </c>
      <c r="BA135" s="86">
        <v>1</v>
      </c>
      <c r="BB135" s="86"/>
      <c r="BD135" s="83" t="s">
        <v>124</v>
      </c>
      <c r="BE135" s="82" t="s">
        <v>182</v>
      </c>
      <c r="BF135" s="83" t="s">
        <v>121</v>
      </c>
      <c r="BG135" s="82" t="s">
        <v>21</v>
      </c>
      <c r="BH135" s="82" t="s">
        <v>81</v>
      </c>
      <c r="BI135" s="84" t="s">
        <v>496</v>
      </c>
      <c r="BJ135" s="89">
        <f>30/12</f>
        <v>2.5</v>
      </c>
      <c r="BK135" s="84" t="s">
        <v>1258</v>
      </c>
      <c r="BL135" s="84" t="s">
        <v>497</v>
      </c>
      <c r="BM135" s="88">
        <v>2.5</v>
      </c>
      <c r="BN135" s="82" t="s">
        <v>379</v>
      </c>
      <c r="BO135" s="82" t="s">
        <v>382</v>
      </c>
      <c r="BP135" s="82" t="s">
        <v>498</v>
      </c>
      <c r="BS135" s="82" t="s">
        <v>2133</v>
      </c>
      <c r="BT135" s="82" t="s">
        <v>72</v>
      </c>
      <c r="BU135" s="86">
        <v>14.4</v>
      </c>
      <c r="BV135" s="86">
        <v>1.5</v>
      </c>
      <c r="BW135" s="90">
        <v>3.3540000000000001</v>
      </c>
      <c r="BX135" s="86">
        <v>5</v>
      </c>
      <c r="BY135" s="86">
        <v>5</v>
      </c>
      <c r="BZ135" s="82" t="s">
        <v>194</v>
      </c>
      <c r="CA135" s="82" t="s">
        <v>1198</v>
      </c>
      <c r="CB135" s="82" t="s">
        <v>80</v>
      </c>
      <c r="CC135" s="100">
        <v>13.3</v>
      </c>
      <c r="CD135" s="100">
        <v>1.5</v>
      </c>
      <c r="CE135" s="90">
        <v>3.3540000000000001</v>
      </c>
      <c r="CF135" s="86">
        <v>5</v>
      </c>
      <c r="CG135" s="86">
        <v>5</v>
      </c>
      <c r="CH135" s="82" t="s">
        <v>194</v>
      </c>
      <c r="CI135" s="82" t="s">
        <v>1197</v>
      </c>
      <c r="CK135" s="86"/>
      <c r="CL135" s="86"/>
      <c r="CM135" s="86"/>
      <c r="CN135" s="86"/>
      <c r="CO135" s="86"/>
      <c r="CS135" s="86"/>
      <c r="CT135" s="86"/>
      <c r="CU135" s="86"/>
      <c r="CV135" s="86"/>
      <c r="CW135" s="86"/>
      <c r="DY135" s="86"/>
      <c r="DZ135" s="86"/>
      <c r="EA135" s="86"/>
      <c r="EB135" s="86"/>
      <c r="EC135" s="86"/>
      <c r="EG135" s="86"/>
      <c r="EH135" s="86"/>
      <c r="EI135" s="86"/>
      <c r="EJ135" s="86"/>
      <c r="EK135" s="86"/>
      <c r="EN135" s="86">
        <f>BU135</f>
        <v>14.4</v>
      </c>
      <c r="EO135" s="90">
        <f t="shared" si="151"/>
        <v>3.3540000000000001</v>
      </c>
      <c r="EP135" s="86">
        <f t="shared" si="151"/>
        <v>5</v>
      </c>
      <c r="EQ135" s="86">
        <f t="shared" si="151"/>
        <v>5</v>
      </c>
      <c r="ER135" s="86">
        <f>CC135</f>
        <v>13.3</v>
      </c>
      <c r="ES135" s="90">
        <f t="shared" si="152"/>
        <v>3.3540000000000001</v>
      </c>
      <c r="ET135" s="86">
        <f t="shared" si="152"/>
        <v>5</v>
      </c>
      <c r="EU135" s="86">
        <f t="shared" si="152"/>
        <v>5</v>
      </c>
      <c r="EV135" s="86">
        <f t="shared" si="127"/>
        <v>3.3540000000000001</v>
      </c>
      <c r="EW135" s="86">
        <f t="shared" si="128"/>
        <v>0.32796660703637437</v>
      </c>
      <c r="EX135" s="86">
        <f t="shared" si="129"/>
        <v>0.40537810476654762</v>
      </c>
      <c r="EY135" s="86">
        <f t="shared" si="130"/>
        <v>0.90322580645161288</v>
      </c>
      <c r="EZ135" s="83">
        <f t="shared" si="131"/>
        <v>0.29622790312962843</v>
      </c>
      <c r="FA135" s="83">
        <f t="shared" si="132"/>
        <v>0.33071429150569542</v>
      </c>
      <c r="FB135" s="83">
        <f t="shared" si="133"/>
        <v>10</v>
      </c>
      <c r="FC135" s="84" t="s">
        <v>125</v>
      </c>
    </row>
    <row r="136" spans="1:159" s="82" customFormat="1" ht="17.100000000000001" customHeight="1">
      <c r="A136" s="78" t="s">
        <v>1843</v>
      </c>
      <c r="B136" s="96" t="s">
        <v>1419</v>
      </c>
      <c r="C136" s="80" t="str">
        <f t="shared" si="150"/>
        <v>Nelson, C. R., Halpern, C. B., &amp; Agee, J. K. 2008.  Thinning and burning result in low-level invasion by nonnative plants but neutral effects on natives. Ecological Applications. 18: 762-770.</v>
      </c>
      <c r="D136" s="91" t="s">
        <v>1510</v>
      </c>
      <c r="E136" s="91">
        <v>2008</v>
      </c>
      <c r="F136" s="96" t="s">
        <v>1034</v>
      </c>
      <c r="G136" s="96" t="s">
        <v>860</v>
      </c>
      <c r="H136" s="91">
        <v>18</v>
      </c>
      <c r="I136" s="92" t="s">
        <v>1035</v>
      </c>
      <c r="J136" s="79"/>
      <c r="K136" s="96" t="s">
        <v>1036</v>
      </c>
      <c r="L136" s="82" t="s">
        <v>101</v>
      </c>
      <c r="M136" s="95" t="s">
        <v>73</v>
      </c>
      <c r="N136" s="82" t="s">
        <v>389</v>
      </c>
      <c r="P136" s="91" t="s">
        <v>16</v>
      </c>
      <c r="Q136" s="96" t="s">
        <v>864</v>
      </c>
      <c r="R136" s="96" t="s">
        <v>1037</v>
      </c>
      <c r="S136" s="96"/>
      <c r="T136" s="96" t="s">
        <v>1038</v>
      </c>
      <c r="U136" s="96" t="s">
        <v>1039</v>
      </c>
      <c r="V136" s="91">
        <v>48.5</v>
      </c>
      <c r="W136" s="91">
        <v>-119.5</v>
      </c>
      <c r="X136" s="91" t="s">
        <v>1040</v>
      </c>
      <c r="Y136" s="104" t="s">
        <v>1899</v>
      </c>
      <c r="Z136" s="66" t="s">
        <v>2204</v>
      </c>
      <c r="AA136" s="97" t="s">
        <v>49</v>
      </c>
      <c r="AB136" s="79" t="s">
        <v>103</v>
      </c>
      <c r="AC136" s="82" t="s">
        <v>137</v>
      </c>
      <c r="AF136" s="82" t="s">
        <v>156</v>
      </c>
      <c r="AG136" s="82" t="s">
        <v>91</v>
      </c>
      <c r="AH136" s="82" t="s">
        <v>106</v>
      </c>
      <c r="AI136" s="82" t="s">
        <v>272</v>
      </c>
      <c r="AJ136" s="86">
        <v>16</v>
      </c>
      <c r="AK136" s="86" t="s">
        <v>64</v>
      </c>
      <c r="AL136" s="86" t="s">
        <v>64</v>
      </c>
      <c r="AM136" s="84" t="s">
        <v>64</v>
      </c>
      <c r="AN136" s="84" t="s">
        <v>64</v>
      </c>
      <c r="AO136" s="84" t="s">
        <v>64</v>
      </c>
      <c r="AP136" s="68" t="s">
        <v>64</v>
      </c>
      <c r="AQ136" s="82" t="s">
        <v>64</v>
      </c>
      <c r="AR136" s="86">
        <v>8</v>
      </c>
      <c r="AS136" s="86">
        <v>20</v>
      </c>
      <c r="AT136" s="86"/>
      <c r="AU136" s="87"/>
      <c r="AV136" s="88" t="s">
        <v>64</v>
      </c>
      <c r="AW136" s="82" t="s">
        <v>2071</v>
      </c>
      <c r="AX136" s="82" t="s">
        <v>80</v>
      </c>
      <c r="AY136" s="86">
        <v>15</v>
      </c>
      <c r="AZ136" s="86">
        <v>8</v>
      </c>
      <c r="BA136" s="86">
        <v>20</v>
      </c>
      <c r="BB136" s="86"/>
      <c r="BC136" s="82" t="s">
        <v>1041</v>
      </c>
      <c r="BD136" s="83" t="s">
        <v>124</v>
      </c>
      <c r="BE136" s="82" t="s">
        <v>182</v>
      </c>
      <c r="BF136" s="83" t="s">
        <v>121</v>
      </c>
      <c r="BG136" s="82" t="s">
        <v>21</v>
      </c>
      <c r="BH136" s="82" t="s">
        <v>81</v>
      </c>
      <c r="BI136" s="84" t="s">
        <v>1042</v>
      </c>
      <c r="BJ136" s="89" t="s">
        <v>64</v>
      </c>
      <c r="BK136" s="82" t="s">
        <v>64</v>
      </c>
      <c r="BL136" s="84" t="s">
        <v>1178</v>
      </c>
      <c r="BM136" s="88">
        <v>0.7416666666666667</v>
      </c>
      <c r="BN136" s="82" t="s">
        <v>379</v>
      </c>
      <c r="BO136" s="82" t="s">
        <v>1043</v>
      </c>
      <c r="BP136" s="82" t="s">
        <v>64</v>
      </c>
      <c r="BR136" s="82" t="s">
        <v>1044</v>
      </c>
      <c r="BS136" s="82" t="s">
        <v>2145</v>
      </c>
      <c r="BT136" s="82" t="s">
        <v>72</v>
      </c>
      <c r="BU136" s="86">
        <v>17.899999999999999</v>
      </c>
      <c r="BV136" s="86">
        <v>1.04</v>
      </c>
      <c r="BW136" s="90">
        <v>4.16</v>
      </c>
      <c r="BX136" s="86">
        <v>16</v>
      </c>
      <c r="BY136" s="86">
        <v>16</v>
      </c>
      <c r="BZ136" s="82" t="s">
        <v>610</v>
      </c>
      <c r="CA136" s="82" t="s">
        <v>1283</v>
      </c>
      <c r="CB136" s="82" t="s">
        <v>80</v>
      </c>
      <c r="CC136" s="86">
        <v>16.86</v>
      </c>
      <c r="CD136" s="86">
        <v>1.31</v>
      </c>
      <c r="CE136" s="90">
        <v>5.0736081835317162</v>
      </c>
      <c r="CF136" s="86">
        <v>15</v>
      </c>
      <c r="CG136" s="86">
        <v>15</v>
      </c>
      <c r="CH136" s="82" t="s">
        <v>610</v>
      </c>
      <c r="CI136" s="82" t="s">
        <v>1283</v>
      </c>
      <c r="CK136" s="86"/>
      <c r="CL136" s="86"/>
      <c r="CM136" s="86"/>
      <c r="CN136" s="86"/>
      <c r="CO136" s="86"/>
      <c r="CS136" s="86"/>
      <c r="CT136" s="86"/>
      <c r="CU136" s="86"/>
      <c r="CV136" s="86"/>
      <c r="CW136" s="86"/>
      <c r="DY136" s="86"/>
      <c r="DZ136" s="86"/>
      <c r="EA136" s="86"/>
      <c r="EB136" s="86"/>
      <c r="EC136" s="86"/>
      <c r="EG136" s="86"/>
      <c r="EH136" s="86"/>
      <c r="EI136" s="86"/>
      <c r="EJ136" s="86"/>
      <c r="EK136" s="86"/>
      <c r="EN136" s="86">
        <f>BU136</f>
        <v>17.899999999999999</v>
      </c>
      <c r="EO136" s="90">
        <f t="shared" si="151"/>
        <v>4.16</v>
      </c>
      <c r="EP136" s="86">
        <f t="shared" si="151"/>
        <v>16</v>
      </c>
      <c r="EQ136" s="86">
        <f t="shared" si="151"/>
        <v>16</v>
      </c>
      <c r="ER136" s="86">
        <f>CC136</f>
        <v>16.86</v>
      </c>
      <c r="ES136" s="90">
        <f t="shared" si="152"/>
        <v>5.0736081835317162</v>
      </c>
      <c r="ET136" s="86">
        <f t="shared" si="152"/>
        <v>15</v>
      </c>
      <c r="EU136" s="86">
        <f t="shared" si="152"/>
        <v>15</v>
      </c>
      <c r="EV136" s="86">
        <f t="shared" si="127"/>
        <v>4.6236461205714976</v>
      </c>
      <c r="EW136" s="86">
        <f t="shared" si="128"/>
        <v>0.22493070898588835</v>
      </c>
      <c r="EX136" s="86">
        <f t="shared" si="129"/>
        <v>0.12998269608351981</v>
      </c>
      <c r="EY136" s="86">
        <f t="shared" si="130"/>
        <v>0.97391304347826091</v>
      </c>
      <c r="EZ136" s="83">
        <f t="shared" si="131"/>
        <v>0.21906295136016954</v>
      </c>
      <c r="FA136" s="83">
        <f t="shared" si="132"/>
        <v>0.12328944723415293</v>
      </c>
      <c r="FB136" s="83">
        <f t="shared" si="133"/>
        <v>31</v>
      </c>
      <c r="FC136" s="82" t="s">
        <v>385</v>
      </c>
    </row>
    <row r="137" spans="1:159" s="82" customFormat="1" ht="17.100000000000001" customHeight="1">
      <c r="A137" s="78" t="s">
        <v>1843</v>
      </c>
      <c r="B137" s="96" t="s">
        <v>1419</v>
      </c>
      <c r="C137" s="80" t="str">
        <f t="shared" si="150"/>
        <v>Nelson, C. R., Halpern, C. B., &amp; Agee, J. K. 2008.  Thinning and burning result in low-level invasion by nonnative plants but neutral effects on natives. Ecological Applications. 18: 762-770.</v>
      </c>
      <c r="D137" s="91" t="s">
        <v>1510</v>
      </c>
      <c r="E137" s="91">
        <v>2008</v>
      </c>
      <c r="F137" s="96" t="s">
        <v>1034</v>
      </c>
      <c r="G137" s="96" t="s">
        <v>860</v>
      </c>
      <c r="H137" s="91">
        <v>18</v>
      </c>
      <c r="I137" s="92" t="s">
        <v>1035</v>
      </c>
      <c r="J137" s="79"/>
      <c r="K137" s="96" t="s">
        <v>1036</v>
      </c>
      <c r="L137" s="82" t="s">
        <v>101</v>
      </c>
      <c r="M137" s="95" t="s">
        <v>73</v>
      </c>
      <c r="N137" s="82" t="s">
        <v>389</v>
      </c>
      <c r="P137" s="96" t="s">
        <v>16</v>
      </c>
      <c r="Q137" s="96" t="s">
        <v>864</v>
      </c>
      <c r="R137" s="96" t="s">
        <v>1037</v>
      </c>
      <c r="S137" s="96"/>
      <c r="T137" s="96" t="s">
        <v>1038</v>
      </c>
      <c r="U137" s="96" t="s">
        <v>1039</v>
      </c>
      <c r="V137" s="91">
        <v>48.5</v>
      </c>
      <c r="W137" s="91">
        <v>-119.5</v>
      </c>
      <c r="X137" s="96" t="s">
        <v>1040</v>
      </c>
      <c r="Y137" s="145" t="s">
        <v>1899</v>
      </c>
      <c r="Z137" s="66" t="s">
        <v>2204</v>
      </c>
      <c r="AA137" s="97" t="s">
        <v>49</v>
      </c>
      <c r="AB137" s="79" t="s">
        <v>103</v>
      </c>
      <c r="AC137" s="82" t="s">
        <v>137</v>
      </c>
      <c r="AF137" s="82" t="s">
        <v>156</v>
      </c>
      <c r="AG137" s="82" t="s">
        <v>91</v>
      </c>
      <c r="AH137" s="82" t="s">
        <v>106</v>
      </c>
      <c r="AI137" s="82" t="s">
        <v>272</v>
      </c>
      <c r="AJ137" s="82">
        <v>16</v>
      </c>
      <c r="AK137" s="86" t="s">
        <v>64</v>
      </c>
      <c r="AL137" s="86" t="s">
        <v>64</v>
      </c>
      <c r="AM137" s="82" t="s">
        <v>64</v>
      </c>
      <c r="AN137" s="82" t="s">
        <v>64</v>
      </c>
      <c r="AO137" s="82" t="s">
        <v>64</v>
      </c>
      <c r="AP137" s="68" t="s">
        <v>64</v>
      </c>
      <c r="AQ137" s="82" t="s">
        <v>64</v>
      </c>
      <c r="AR137" s="82">
        <v>8</v>
      </c>
      <c r="AS137" s="82">
        <v>20</v>
      </c>
      <c r="AV137" s="88" t="s">
        <v>64</v>
      </c>
      <c r="AW137" s="82" t="s">
        <v>2071</v>
      </c>
      <c r="AX137" s="82" t="s">
        <v>80</v>
      </c>
      <c r="AY137" s="82">
        <v>15</v>
      </c>
      <c r="AZ137" s="82">
        <v>8</v>
      </c>
      <c r="BA137" s="82">
        <v>20</v>
      </c>
      <c r="BC137" s="82" t="s">
        <v>1041</v>
      </c>
      <c r="BD137" s="83" t="s">
        <v>124</v>
      </c>
      <c r="BE137" s="82" t="s">
        <v>182</v>
      </c>
      <c r="BF137" s="83" t="s">
        <v>2156</v>
      </c>
      <c r="BG137" s="82" t="s">
        <v>21</v>
      </c>
      <c r="BH137" s="82" t="s">
        <v>81</v>
      </c>
      <c r="BI137" s="82" t="s">
        <v>1042</v>
      </c>
      <c r="BJ137" s="89" t="s">
        <v>64</v>
      </c>
      <c r="BK137" s="63" t="s">
        <v>64</v>
      </c>
      <c r="BL137" s="84" t="s">
        <v>1178</v>
      </c>
      <c r="BM137" s="88">
        <v>0.7416666666666667</v>
      </c>
      <c r="BN137" s="82" t="s">
        <v>379</v>
      </c>
      <c r="BO137" s="82" t="s">
        <v>1043</v>
      </c>
      <c r="BP137" s="82" t="s">
        <v>64</v>
      </c>
      <c r="BR137" s="82" t="s">
        <v>1045</v>
      </c>
      <c r="BS137" s="82" t="s">
        <v>2148</v>
      </c>
      <c r="BT137" s="63" t="s">
        <v>1150</v>
      </c>
      <c r="BU137" s="67">
        <v>0.86</v>
      </c>
      <c r="BV137" s="67">
        <v>0.21</v>
      </c>
      <c r="BW137" s="69">
        <v>0.84</v>
      </c>
      <c r="BX137" s="86">
        <v>16</v>
      </c>
      <c r="BY137" s="86">
        <v>16</v>
      </c>
      <c r="BZ137" s="82" t="s">
        <v>186</v>
      </c>
      <c r="CA137" s="82" t="s">
        <v>1283</v>
      </c>
      <c r="CB137" s="63" t="s">
        <v>80</v>
      </c>
      <c r="CC137" s="67">
        <v>0.46</v>
      </c>
      <c r="CD137" s="67">
        <v>0.16</v>
      </c>
      <c r="CE137" s="69">
        <v>0.6196773353931867</v>
      </c>
      <c r="CF137" s="86">
        <v>15</v>
      </c>
      <c r="CG137" s="86">
        <v>15</v>
      </c>
      <c r="CH137" s="82" t="s">
        <v>186</v>
      </c>
      <c r="CI137" s="82" t="s">
        <v>1283</v>
      </c>
      <c r="CJ137" s="63"/>
      <c r="CK137" s="67"/>
      <c r="CL137" s="67"/>
      <c r="CM137" s="67"/>
      <c r="CN137" s="67"/>
      <c r="CO137" s="67"/>
      <c r="CP137" s="63"/>
      <c r="CQ137" s="63"/>
      <c r="CR137" s="63"/>
      <c r="CS137" s="67"/>
      <c r="CT137" s="67"/>
      <c r="CU137" s="67"/>
      <c r="CV137" s="67"/>
      <c r="CW137" s="67"/>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7"/>
      <c r="DZ137" s="67"/>
      <c r="EA137" s="67"/>
      <c r="EB137" s="67"/>
      <c r="EC137" s="67"/>
      <c r="ED137" s="63"/>
      <c r="EE137" s="63"/>
      <c r="EF137" s="63"/>
      <c r="EG137" s="67"/>
      <c r="EH137" s="67"/>
      <c r="EI137" s="67"/>
      <c r="EJ137" s="67"/>
      <c r="EK137" s="67"/>
      <c r="EL137" s="63"/>
      <c r="EM137" s="63"/>
      <c r="EN137" s="86">
        <f>BU137</f>
        <v>0.86</v>
      </c>
      <c r="EO137" s="90">
        <f t="shared" si="151"/>
        <v>0.84</v>
      </c>
      <c r="EP137" s="86">
        <f t="shared" si="151"/>
        <v>16</v>
      </c>
      <c r="EQ137" s="86">
        <f t="shared" si="151"/>
        <v>16</v>
      </c>
      <c r="ER137" s="86">
        <f>CC137</f>
        <v>0.46</v>
      </c>
      <c r="ES137" s="90">
        <f t="shared" si="152"/>
        <v>0.6196773353931867</v>
      </c>
      <c r="ET137" s="86">
        <f t="shared" si="152"/>
        <v>15</v>
      </c>
      <c r="EU137" s="86">
        <f t="shared" si="152"/>
        <v>15</v>
      </c>
      <c r="EV137" s="86">
        <f t="shared" si="127"/>
        <v>0.74185229499288252</v>
      </c>
      <c r="EW137" s="86">
        <f t="shared" si="128"/>
        <v>0.53919089109758389</v>
      </c>
      <c r="EX137" s="86">
        <f t="shared" si="129"/>
        <v>0.1338558088770313</v>
      </c>
      <c r="EY137" s="86">
        <f t="shared" si="130"/>
        <v>0.97391304347826091</v>
      </c>
      <c r="EZ137" s="83">
        <f t="shared" si="131"/>
        <v>0.52512504176460351</v>
      </c>
      <c r="FA137" s="83">
        <f t="shared" si="132"/>
        <v>0.12696312034430857</v>
      </c>
      <c r="FB137" s="83">
        <f t="shared" si="133"/>
        <v>31</v>
      </c>
      <c r="FC137" s="82" t="s">
        <v>385</v>
      </c>
    </row>
    <row r="138" spans="1:159" s="82" customFormat="1" ht="17.100000000000001" customHeight="1">
      <c r="A138" s="78" t="s">
        <v>1843</v>
      </c>
      <c r="B138" s="96" t="s">
        <v>1419</v>
      </c>
      <c r="C138" s="80" t="str">
        <f t="shared" si="150"/>
        <v>Nelson, C. R., Halpern, C. B., &amp; Agee, J. K. 2008.  Thinning and burning result in low-level invasion by nonnative plants but neutral effects on natives. Ecological Applications. 18: 762-770.</v>
      </c>
      <c r="D138" s="91" t="s">
        <v>1510</v>
      </c>
      <c r="E138" s="91">
        <v>2008</v>
      </c>
      <c r="F138" s="96" t="s">
        <v>1034</v>
      </c>
      <c r="G138" s="96" t="s">
        <v>860</v>
      </c>
      <c r="H138" s="91">
        <v>18</v>
      </c>
      <c r="I138" s="92" t="s">
        <v>1035</v>
      </c>
      <c r="J138" s="79"/>
      <c r="K138" s="96" t="s">
        <v>1036</v>
      </c>
      <c r="L138" s="82" t="s">
        <v>101</v>
      </c>
      <c r="M138" s="95" t="s">
        <v>73</v>
      </c>
      <c r="N138" s="82" t="s">
        <v>389</v>
      </c>
      <c r="P138" s="96" t="s">
        <v>16</v>
      </c>
      <c r="Q138" s="96" t="s">
        <v>864</v>
      </c>
      <c r="R138" s="96" t="s">
        <v>1037</v>
      </c>
      <c r="S138" s="96"/>
      <c r="T138" s="96" t="s">
        <v>1038</v>
      </c>
      <c r="U138" s="96" t="s">
        <v>1039</v>
      </c>
      <c r="V138" s="91">
        <v>48.5</v>
      </c>
      <c r="W138" s="91">
        <v>-119.5</v>
      </c>
      <c r="X138" s="96" t="s">
        <v>1040</v>
      </c>
      <c r="Y138" s="145" t="s">
        <v>1899</v>
      </c>
      <c r="Z138" s="66" t="s">
        <v>2204</v>
      </c>
      <c r="AA138" s="97" t="s">
        <v>49</v>
      </c>
      <c r="AB138" s="79" t="s">
        <v>103</v>
      </c>
      <c r="AC138" s="82" t="s">
        <v>137</v>
      </c>
      <c r="AF138" s="82" t="s">
        <v>156</v>
      </c>
      <c r="AG138" s="82" t="s">
        <v>91</v>
      </c>
      <c r="AH138" s="82" t="s">
        <v>106</v>
      </c>
      <c r="AI138" s="82" t="s">
        <v>272</v>
      </c>
      <c r="AJ138" s="82">
        <v>16</v>
      </c>
      <c r="AK138" s="86" t="s">
        <v>64</v>
      </c>
      <c r="AL138" s="86" t="s">
        <v>64</v>
      </c>
      <c r="AM138" s="82" t="s">
        <v>64</v>
      </c>
      <c r="AN138" s="82" t="s">
        <v>64</v>
      </c>
      <c r="AO138" s="82" t="s">
        <v>64</v>
      </c>
      <c r="AP138" s="68" t="s">
        <v>64</v>
      </c>
      <c r="AQ138" s="82" t="s">
        <v>64</v>
      </c>
      <c r="AR138" s="82">
        <v>8</v>
      </c>
      <c r="AS138" s="82">
        <v>20</v>
      </c>
      <c r="AV138" s="88" t="s">
        <v>64</v>
      </c>
      <c r="AW138" s="82" t="s">
        <v>2071</v>
      </c>
      <c r="AX138" s="82" t="s">
        <v>80</v>
      </c>
      <c r="AY138" s="82">
        <v>15</v>
      </c>
      <c r="AZ138" s="82">
        <v>8</v>
      </c>
      <c r="BA138" s="82">
        <v>20</v>
      </c>
      <c r="BC138" s="82" t="s">
        <v>1041</v>
      </c>
      <c r="BD138" s="83" t="s">
        <v>124</v>
      </c>
      <c r="BE138" s="82" t="s">
        <v>182</v>
      </c>
      <c r="BF138" s="93" t="s">
        <v>2102</v>
      </c>
      <c r="BG138" s="82" t="s">
        <v>21</v>
      </c>
      <c r="BH138" s="82" t="s">
        <v>81</v>
      </c>
      <c r="BI138" s="82" t="s">
        <v>1042</v>
      </c>
      <c r="BJ138" s="89" t="s">
        <v>64</v>
      </c>
      <c r="BK138" s="63" t="s">
        <v>64</v>
      </c>
      <c r="BL138" s="84" t="s">
        <v>1178</v>
      </c>
      <c r="BM138" s="88">
        <v>0.7416666666666667</v>
      </c>
      <c r="BN138" s="82" t="s">
        <v>379</v>
      </c>
      <c r="BO138" s="82" t="s">
        <v>1043</v>
      </c>
      <c r="BP138" s="82" t="s">
        <v>64</v>
      </c>
      <c r="BR138" s="82" t="s">
        <v>2104</v>
      </c>
      <c r="BS138" s="82" t="s">
        <v>2149</v>
      </c>
      <c r="BT138" s="63" t="s">
        <v>1150</v>
      </c>
      <c r="BU138" s="67">
        <v>18.759999999999998</v>
      </c>
      <c r="BV138" s="67"/>
      <c r="BW138" s="69">
        <v>4.24</v>
      </c>
      <c r="BX138" s="86">
        <v>16</v>
      </c>
      <c r="BY138" s="86">
        <v>16</v>
      </c>
      <c r="BZ138" s="82" t="s">
        <v>2108</v>
      </c>
      <c r="CA138" s="82" t="s">
        <v>1283</v>
      </c>
      <c r="CB138" s="63" t="s">
        <v>80</v>
      </c>
      <c r="CC138" s="67">
        <v>17.32</v>
      </c>
      <c r="CD138" s="67"/>
      <c r="CE138" s="69">
        <v>5.22</v>
      </c>
      <c r="CF138" s="86">
        <v>15</v>
      </c>
      <c r="CG138" s="86">
        <v>15</v>
      </c>
      <c r="CH138" s="82" t="s">
        <v>2108</v>
      </c>
      <c r="CI138" s="82" t="s">
        <v>1283</v>
      </c>
      <c r="CJ138" s="63"/>
      <c r="CK138" s="67"/>
      <c r="CL138" s="67"/>
      <c r="CM138" s="67"/>
      <c r="CN138" s="67"/>
      <c r="CO138" s="67"/>
      <c r="CP138" s="63"/>
      <c r="CQ138" s="63"/>
      <c r="CR138" s="63"/>
      <c r="CS138" s="67"/>
      <c r="CT138" s="67"/>
      <c r="CU138" s="67"/>
      <c r="CV138" s="67"/>
      <c r="CW138" s="67"/>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7"/>
      <c r="DZ138" s="67"/>
      <c r="EA138" s="67"/>
      <c r="EB138" s="67"/>
      <c r="EC138" s="67"/>
      <c r="ED138" s="63"/>
      <c r="EE138" s="63"/>
      <c r="EF138" s="63"/>
      <c r="EG138" s="67"/>
      <c r="EH138" s="67"/>
      <c r="EI138" s="67"/>
      <c r="EJ138" s="67"/>
      <c r="EK138" s="67"/>
      <c r="EL138" s="63"/>
      <c r="EM138" s="63"/>
      <c r="EN138" s="86">
        <f>BU138</f>
        <v>18.759999999999998</v>
      </c>
      <c r="EO138" s="90">
        <f t="shared" si="151"/>
        <v>4.24</v>
      </c>
      <c r="EP138" s="86">
        <f t="shared" si="151"/>
        <v>16</v>
      </c>
      <c r="EQ138" s="86">
        <f t="shared" si="151"/>
        <v>16</v>
      </c>
      <c r="ER138" s="86">
        <f>CC138</f>
        <v>17.32</v>
      </c>
      <c r="ES138" s="90">
        <f t="shared" si="152"/>
        <v>5.22</v>
      </c>
      <c r="ET138" s="86">
        <f t="shared" si="152"/>
        <v>15</v>
      </c>
      <c r="EU138" s="86">
        <f t="shared" si="152"/>
        <v>15</v>
      </c>
      <c r="EV138" s="86">
        <f t="shared" si="127"/>
        <v>4.7384764028841229</v>
      </c>
      <c r="EW138" s="86">
        <f t="shared" si="128"/>
        <v>0.30389515058543431</v>
      </c>
      <c r="EX138" s="86">
        <f t="shared" si="129"/>
        <v>0.1306562192884303</v>
      </c>
      <c r="EY138" s="86">
        <f t="shared" si="130"/>
        <v>0.97391304347826091</v>
      </c>
      <c r="EZ138" s="83">
        <f t="shared" si="131"/>
        <v>0.29596745100494476</v>
      </c>
      <c r="FA138" s="83">
        <f t="shared" si="132"/>
        <v>0.12392828845021321</v>
      </c>
      <c r="FB138" s="83">
        <f t="shared" si="133"/>
        <v>31</v>
      </c>
      <c r="FC138" s="82" t="s">
        <v>385</v>
      </c>
    </row>
    <row r="139" spans="1:159" s="82" customFormat="1" ht="17.100000000000001" customHeight="1">
      <c r="A139" s="78" t="s">
        <v>1827</v>
      </c>
      <c r="B139" s="79" t="s">
        <v>1910</v>
      </c>
      <c r="C139" s="80" t="str">
        <f t="shared" si="150"/>
        <v>Neumann, F. G., Collett, N. G., &amp; Tolhurst, K. G.  1995.  Coleoptera in litter of dry sclerophyll eucalypt forest and the effects of low-intensity prescribed fire on their activity and composition in west-central Victoria. 
. Australian Forestry, . 58(3): 83-98.</v>
      </c>
      <c r="D139" s="81" t="s">
        <v>1493</v>
      </c>
      <c r="E139" s="81">
        <v>1995</v>
      </c>
      <c r="F139" s="77" t="s">
        <v>468</v>
      </c>
      <c r="G139" s="79" t="s">
        <v>462</v>
      </c>
      <c r="H139" s="81" t="s">
        <v>463</v>
      </c>
      <c r="I139" s="81" t="s">
        <v>464</v>
      </c>
      <c r="J139" s="79"/>
      <c r="K139" s="79" t="s">
        <v>465</v>
      </c>
      <c r="L139" s="82" t="s">
        <v>18</v>
      </c>
      <c r="M139" s="83" t="s">
        <v>163</v>
      </c>
      <c r="N139" s="82" t="s">
        <v>389</v>
      </c>
      <c r="P139" s="81" t="s">
        <v>162</v>
      </c>
      <c r="Q139" s="79" t="s">
        <v>466</v>
      </c>
      <c r="R139" s="79" t="s">
        <v>467</v>
      </c>
      <c r="S139" s="79"/>
      <c r="T139" s="79" t="s">
        <v>469</v>
      </c>
      <c r="U139" s="79" t="s">
        <v>470</v>
      </c>
      <c r="V139" s="81">
        <v>-37.519999999999982</v>
      </c>
      <c r="W139" s="81">
        <v>144.16</v>
      </c>
      <c r="X139" s="81" t="s">
        <v>1448</v>
      </c>
      <c r="Y139" s="66" t="s">
        <v>1898</v>
      </c>
      <c r="Z139" s="66" t="s">
        <v>2202</v>
      </c>
      <c r="AA139" s="97" t="s">
        <v>555</v>
      </c>
      <c r="AB139" s="82" t="s">
        <v>103</v>
      </c>
      <c r="AC139" s="82" t="s">
        <v>136</v>
      </c>
      <c r="AD139" s="79"/>
      <c r="AF139" s="82" t="s">
        <v>156</v>
      </c>
      <c r="AG139" s="82" t="s">
        <v>92</v>
      </c>
      <c r="AH139" s="82" t="s">
        <v>107</v>
      </c>
      <c r="AI139" s="82" t="s">
        <v>272</v>
      </c>
      <c r="AJ139" s="86">
        <v>2</v>
      </c>
      <c r="AK139" s="86">
        <v>1</v>
      </c>
      <c r="AL139" s="86">
        <v>1</v>
      </c>
      <c r="AM139" s="84" t="s">
        <v>482</v>
      </c>
      <c r="AN139" s="84" t="s">
        <v>522</v>
      </c>
      <c r="AO139" s="84" t="s">
        <v>526</v>
      </c>
      <c r="AP139" s="68" t="s">
        <v>2227</v>
      </c>
      <c r="AQ139" s="82" t="s">
        <v>94</v>
      </c>
      <c r="AR139" s="86">
        <v>1</v>
      </c>
      <c r="AS139" s="86">
        <v>1</v>
      </c>
      <c r="AT139" s="86">
        <v>20</v>
      </c>
      <c r="AU139" s="87"/>
      <c r="AV139" s="88">
        <v>0.8</v>
      </c>
      <c r="AW139" s="82" t="s">
        <v>471</v>
      </c>
      <c r="AX139" s="82" t="s">
        <v>80</v>
      </c>
      <c r="AY139" s="86">
        <v>1</v>
      </c>
      <c r="AZ139" s="86">
        <v>1</v>
      </c>
      <c r="BA139" s="86" t="s">
        <v>85</v>
      </c>
      <c r="BB139" s="86" t="s">
        <v>275</v>
      </c>
      <c r="BC139" s="82" t="s">
        <v>1375</v>
      </c>
      <c r="BD139" s="83" t="s">
        <v>124</v>
      </c>
      <c r="BE139" s="82" t="s">
        <v>182</v>
      </c>
      <c r="BF139" s="83" t="s">
        <v>1750</v>
      </c>
      <c r="BG139" s="82" t="s">
        <v>21</v>
      </c>
      <c r="BH139" s="82" t="s">
        <v>81</v>
      </c>
      <c r="BI139" s="84" t="s">
        <v>225</v>
      </c>
      <c r="BJ139" s="89">
        <f>15/12</f>
        <v>1.25</v>
      </c>
      <c r="BK139" s="84" t="s">
        <v>1259</v>
      </c>
      <c r="BL139" s="84" t="s">
        <v>1259</v>
      </c>
      <c r="BM139" s="88">
        <v>0.625</v>
      </c>
      <c r="BN139" s="82" t="s">
        <v>379</v>
      </c>
      <c r="BO139" s="82" t="s">
        <v>191</v>
      </c>
      <c r="BP139" s="82" t="s">
        <v>64</v>
      </c>
      <c r="BR139" s="82" t="s">
        <v>1893</v>
      </c>
      <c r="BS139" s="82" t="s">
        <v>2171</v>
      </c>
      <c r="BU139" s="86"/>
      <c r="BV139" s="86"/>
      <c r="BW139" s="90"/>
      <c r="BX139" s="86"/>
      <c r="BY139" s="86"/>
      <c r="CC139" s="86"/>
      <c r="CD139" s="86"/>
      <c r="CE139" s="90"/>
      <c r="CF139" s="86"/>
      <c r="CG139" s="86"/>
      <c r="CK139" s="86"/>
      <c r="CL139" s="86"/>
      <c r="CM139" s="86"/>
      <c r="CN139" s="86"/>
      <c r="CO139" s="86"/>
      <c r="CR139" s="82" t="s">
        <v>1254</v>
      </c>
      <c r="CS139" s="86">
        <v>21.5</v>
      </c>
      <c r="CT139" s="86">
        <v>0.5</v>
      </c>
      <c r="CU139" s="86">
        <v>0.70710678118654802</v>
      </c>
      <c r="CV139" s="86">
        <v>2</v>
      </c>
      <c r="CW139" s="86">
        <v>2</v>
      </c>
      <c r="CX139" s="82" t="s">
        <v>476</v>
      </c>
      <c r="CY139" s="82" t="s">
        <v>477</v>
      </c>
      <c r="CZ139" s="82" t="s">
        <v>478</v>
      </c>
      <c r="DA139" s="82">
        <v>27.5</v>
      </c>
      <c r="DB139" s="82">
        <v>3.5</v>
      </c>
      <c r="DC139" s="82">
        <v>4.9497474683058327</v>
      </c>
      <c r="DD139" s="82">
        <v>2</v>
      </c>
      <c r="DE139" s="82">
        <v>2</v>
      </c>
      <c r="DF139" s="82" t="s">
        <v>476</v>
      </c>
      <c r="DG139" s="82" t="s">
        <v>1374</v>
      </c>
      <c r="DH139" s="82" t="s">
        <v>575</v>
      </c>
      <c r="DI139" s="82">
        <v>45.5</v>
      </c>
      <c r="DJ139" s="82">
        <v>8.5</v>
      </c>
      <c r="DK139" s="82">
        <v>12.020815280171309</v>
      </c>
      <c r="DL139" s="82">
        <v>2</v>
      </c>
      <c r="DM139" s="82">
        <v>2</v>
      </c>
      <c r="DN139" s="82" t="s">
        <v>476</v>
      </c>
      <c r="DO139" s="82" t="s">
        <v>477</v>
      </c>
      <c r="DP139" s="82" t="s">
        <v>478</v>
      </c>
      <c r="DQ139" s="82">
        <v>47</v>
      </c>
      <c r="DR139" s="82">
        <v>3</v>
      </c>
      <c r="DS139" s="82">
        <v>4.2426406871192857</v>
      </c>
      <c r="DT139" s="82">
        <v>2</v>
      </c>
      <c r="DU139" s="82">
        <v>2</v>
      </c>
      <c r="DV139" s="82" t="s">
        <v>476</v>
      </c>
      <c r="DW139" s="82" t="s">
        <v>1374</v>
      </c>
      <c r="DX139" s="82" t="s">
        <v>1747</v>
      </c>
      <c r="DY139" s="86">
        <f>DI139-CS139</f>
        <v>24</v>
      </c>
      <c r="DZ139" s="86"/>
      <c r="EA139" s="86">
        <f>SQRT((CU139^2)+(DK139^2))</f>
        <v>12.041594578792296</v>
      </c>
      <c r="EB139" s="86">
        <v>2</v>
      </c>
      <c r="EC139" s="86">
        <v>2</v>
      </c>
      <c r="ED139" s="82" t="s">
        <v>1743</v>
      </c>
      <c r="EE139" s="82" t="s">
        <v>1744</v>
      </c>
      <c r="EF139" s="82" t="s">
        <v>1746</v>
      </c>
      <c r="EG139" s="86">
        <f>DQ139-DA139</f>
        <v>19.5</v>
      </c>
      <c r="EH139" s="86"/>
      <c r="EI139" s="86">
        <f>SQRT((DS139^2)+(DC139^2))</f>
        <v>6.5192024052026492</v>
      </c>
      <c r="EJ139" s="86">
        <v>2</v>
      </c>
      <c r="EK139" s="86">
        <v>2</v>
      </c>
      <c r="EL139" s="82" t="s">
        <v>1743</v>
      </c>
      <c r="EM139" s="82" t="s">
        <v>1745</v>
      </c>
      <c r="EN139" s="86">
        <f>DY139</f>
        <v>24</v>
      </c>
      <c r="EO139" s="86">
        <f t="shared" ref="EO139:EQ140" si="153">EA139</f>
        <v>12.041594578792296</v>
      </c>
      <c r="EP139" s="86">
        <f t="shared" si="153"/>
        <v>2</v>
      </c>
      <c r="EQ139" s="86">
        <f t="shared" si="153"/>
        <v>2</v>
      </c>
      <c r="ER139" s="86">
        <f>EG139</f>
        <v>19.5</v>
      </c>
      <c r="ES139" s="86">
        <f t="shared" ref="ES139:EU140" si="154">EI139</f>
        <v>6.5192024052026492</v>
      </c>
      <c r="ET139" s="86">
        <f t="shared" si="154"/>
        <v>2</v>
      </c>
      <c r="EU139" s="86">
        <f t="shared" si="154"/>
        <v>2</v>
      </c>
      <c r="EV139" s="86">
        <f t="shared" si="127"/>
        <v>9.6824583655185421</v>
      </c>
      <c r="EW139" s="86">
        <f t="shared" si="128"/>
        <v>0.46475800154489005</v>
      </c>
      <c r="EX139" s="86">
        <f t="shared" si="129"/>
        <v>1.0269999999999999</v>
      </c>
      <c r="EY139" s="86">
        <f t="shared" si="130"/>
        <v>0.5714285714285714</v>
      </c>
      <c r="EZ139" s="83">
        <f t="shared" si="131"/>
        <v>0.26557600088279432</v>
      </c>
      <c r="FA139" s="83">
        <f t="shared" si="132"/>
        <v>0.33534693877551014</v>
      </c>
      <c r="FB139" s="83">
        <f t="shared" si="133"/>
        <v>4</v>
      </c>
      <c r="FC139" s="84" t="s">
        <v>125</v>
      </c>
    </row>
    <row r="140" spans="1:159" s="84" customFormat="1" ht="17.100000000000001" customHeight="1">
      <c r="A140" s="78" t="s">
        <v>1827</v>
      </c>
      <c r="B140" s="79" t="s">
        <v>1909</v>
      </c>
      <c r="C140" s="80" t="str">
        <f t="shared" si="150"/>
        <v>Neumann, F. G., Collett, N. G., &amp; Tolhurst, K. G.  1995.  Coleoptera in litter of dry sclerophyll eucalypt forest and the effects of low-intensity prescribed fire on their activity and composition in west-central Victoria. 
. Australian Forestry, . 58(3): 83-98.</v>
      </c>
      <c r="D140" s="81" t="s">
        <v>1493</v>
      </c>
      <c r="E140" s="81">
        <v>1995</v>
      </c>
      <c r="F140" s="79" t="s">
        <v>468</v>
      </c>
      <c r="G140" s="79" t="s">
        <v>462</v>
      </c>
      <c r="H140" s="81" t="s">
        <v>463</v>
      </c>
      <c r="I140" s="81" t="s">
        <v>464</v>
      </c>
      <c r="J140" s="79"/>
      <c r="K140" s="79" t="s">
        <v>465</v>
      </c>
      <c r="L140" s="82" t="s">
        <v>18</v>
      </c>
      <c r="M140" s="83" t="s">
        <v>163</v>
      </c>
      <c r="N140" s="82" t="s">
        <v>389</v>
      </c>
      <c r="O140" s="82"/>
      <c r="P140" s="81" t="s">
        <v>162</v>
      </c>
      <c r="Q140" s="79" t="s">
        <v>466</v>
      </c>
      <c r="R140" s="79" t="s">
        <v>467</v>
      </c>
      <c r="S140" s="79"/>
      <c r="T140" s="79" t="s">
        <v>469</v>
      </c>
      <c r="U140" s="79" t="s">
        <v>470</v>
      </c>
      <c r="V140" s="81">
        <v>-37.519999999999982</v>
      </c>
      <c r="W140" s="81">
        <v>144.16</v>
      </c>
      <c r="X140" s="81" t="s">
        <v>1448</v>
      </c>
      <c r="Y140" s="66" t="s">
        <v>1898</v>
      </c>
      <c r="Z140" s="66" t="s">
        <v>2202</v>
      </c>
      <c r="AA140" s="97" t="s">
        <v>555</v>
      </c>
      <c r="AB140" s="82" t="s">
        <v>103</v>
      </c>
      <c r="AC140" s="82" t="s">
        <v>136</v>
      </c>
      <c r="AD140" s="79"/>
      <c r="AE140" s="82"/>
      <c r="AF140" s="82" t="s">
        <v>156</v>
      </c>
      <c r="AG140" s="82" t="s">
        <v>92</v>
      </c>
      <c r="AH140" s="82" t="s">
        <v>107</v>
      </c>
      <c r="AI140" s="82" t="s">
        <v>272</v>
      </c>
      <c r="AJ140" s="86">
        <v>2</v>
      </c>
      <c r="AK140" s="86">
        <v>1</v>
      </c>
      <c r="AL140" s="86">
        <v>1</v>
      </c>
      <c r="AM140" s="84" t="s">
        <v>482</v>
      </c>
      <c r="AN140" s="84" t="s">
        <v>523</v>
      </c>
      <c r="AO140" s="84" t="s">
        <v>524</v>
      </c>
      <c r="AP140" s="68" t="s">
        <v>2228</v>
      </c>
      <c r="AQ140" s="82" t="s">
        <v>94</v>
      </c>
      <c r="AR140" s="86">
        <v>1</v>
      </c>
      <c r="AS140" s="86">
        <v>1</v>
      </c>
      <c r="AT140" s="86">
        <v>20</v>
      </c>
      <c r="AU140" s="87"/>
      <c r="AV140" s="88">
        <v>0.5</v>
      </c>
      <c r="AW140" s="82" t="s">
        <v>472</v>
      </c>
      <c r="AX140" s="82" t="s">
        <v>80</v>
      </c>
      <c r="AY140" s="86">
        <v>1</v>
      </c>
      <c r="AZ140" s="86">
        <v>1</v>
      </c>
      <c r="BA140" s="86" t="s">
        <v>85</v>
      </c>
      <c r="BB140" s="86" t="s">
        <v>275</v>
      </c>
      <c r="BC140" s="82" t="s">
        <v>1375</v>
      </c>
      <c r="BD140" s="83" t="s">
        <v>124</v>
      </c>
      <c r="BE140" s="82" t="s">
        <v>182</v>
      </c>
      <c r="BF140" s="137" t="s">
        <v>1750</v>
      </c>
      <c r="BG140" s="82" t="s">
        <v>21</v>
      </c>
      <c r="BH140" s="82" t="s">
        <v>81</v>
      </c>
      <c r="BI140" s="84" t="s">
        <v>225</v>
      </c>
      <c r="BJ140" s="89">
        <f>24/12</f>
        <v>2</v>
      </c>
      <c r="BK140" s="84" t="s">
        <v>1260</v>
      </c>
      <c r="BL140" s="84" t="s">
        <v>1260</v>
      </c>
      <c r="BM140" s="88">
        <v>1</v>
      </c>
      <c r="BN140" s="82" t="s">
        <v>379</v>
      </c>
      <c r="BO140" s="82" t="s">
        <v>191</v>
      </c>
      <c r="BP140" s="82" t="s">
        <v>64</v>
      </c>
      <c r="BQ140" s="82"/>
      <c r="BR140" s="82" t="s">
        <v>1893</v>
      </c>
      <c r="BS140" s="82" t="s">
        <v>2171</v>
      </c>
      <c r="BT140" s="82"/>
      <c r="BU140" s="86"/>
      <c r="BV140" s="86"/>
      <c r="BW140" s="90"/>
      <c r="BX140" s="86"/>
      <c r="BY140" s="86"/>
      <c r="BZ140" s="82"/>
      <c r="CA140" s="82"/>
      <c r="CB140" s="82"/>
      <c r="CC140" s="86"/>
      <c r="CD140" s="86"/>
      <c r="CE140" s="69"/>
      <c r="CF140" s="86"/>
      <c r="CG140" s="86"/>
      <c r="CH140" s="82"/>
      <c r="CI140" s="82"/>
      <c r="CJ140" s="82"/>
      <c r="CK140" s="86"/>
      <c r="CL140" s="86"/>
      <c r="CM140" s="86"/>
      <c r="CN140" s="86"/>
      <c r="CO140" s="86"/>
      <c r="CP140" s="82"/>
      <c r="CQ140" s="82"/>
      <c r="CR140" s="82" t="s">
        <v>1255</v>
      </c>
      <c r="CS140" s="86">
        <v>29.5</v>
      </c>
      <c r="CT140" s="86">
        <v>4.5</v>
      </c>
      <c r="CU140" s="86">
        <v>6.3639610306789285</v>
      </c>
      <c r="CV140" s="86">
        <v>2</v>
      </c>
      <c r="CW140" s="86">
        <v>2</v>
      </c>
      <c r="CX140" s="82" t="s">
        <v>476</v>
      </c>
      <c r="CY140" s="82" t="s">
        <v>477</v>
      </c>
      <c r="CZ140" s="82" t="s">
        <v>478</v>
      </c>
      <c r="DA140" s="82">
        <v>27.5</v>
      </c>
      <c r="DB140" s="82">
        <v>3.5</v>
      </c>
      <c r="DC140" s="82">
        <v>4.9497474683058327</v>
      </c>
      <c r="DD140" s="82">
        <v>2</v>
      </c>
      <c r="DE140" s="82">
        <v>2</v>
      </c>
      <c r="DF140" s="82" t="s">
        <v>476</v>
      </c>
      <c r="DG140" s="82" t="s">
        <v>1374</v>
      </c>
      <c r="DH140" s="82" t="s">
        <v>576</v>
      </c>
      <c r="DI140" s="82">
        <v>46</v>
      </c>
      <c r="DJ140" s="82">
        <v>2</v>
      </c>
      <c r="DK140" s="82">
        <v>2.8284271247461903</v>
      </c>
      <c r="DL140" s="82">
        <v>2</v>
      </c>
      <c r="DM140" s="82">
        <v>2</v>
      </c>
      <c r="DN140" s="82" t="s">
        <v>476</v>
      </c>
      <c r="DO140" s="82" t="s">
        <v>477</v>
      </c>
      <c r="DP140" s="82" t="s">
        <v>478</v>
      </c>
      <c r="DQ140" s="82">
        <v>47</v>
      </c>
      <c r="DR140" s="82">
        <v>3</v>
      </c>
      <c r="DS140" s="82">
        <v>4.2426406871192857</v>
      </c>
      <c r="DT140" s="82">
        <v>2</v>
      </c>
      <c r="DU140" s="82">
        <v>2</v>
      </c>
      <c r="DV140" s="82" t="s">
        <v>476</v>
      </c>
      <c r="DW140" s="82" t="s">
        <v>1374</v>
      </c>
      <c r="DX140" s="82" t="s">
        <v>1747</v>
      </c>
      <c r="DY140" s="86">
        <f>DI140-CS140</f>
        <v>16.5</v>
      </c>
      <c r="DZ140" s="86"/>
      <c r="EA140" s="86">
        <f>SQRT((CU140^2)+(DK140^2))</f>
        <v>6.9641941385920605</v>
      </c>
      <c r="EB140" s="86">
        <v>2</v>
      </c>
      <c r="EC140" s="86">
        <v>2</v>
      </c>
      <c r="ED140" s="82" t="s">
        <v>1743</v>
      </c>
      <c r="EE140" s="82" t="s">
        <v>1744</v>
      </c>
      <c r="EF140" s="82" t="s">
        <v>1746</v>
      </c>
      <c r="EG140" s="86">
        <f>DQ140-DA140</f>
        <v>19.5</v>
      </c>
      <c r="EH140" s="86"/>
      <c r="EI140" s="86">
        <f>SQRT((DS140^2)+(DC140^2))</f>
        <v>6.5192024052026492</v>
      </c>
      <c r="EJ140" s="86">
        <v>2</v>
      </c>
      <c r="EK140" s="86">
        <v>2</v>
      </c>
      <c r="EL140" s="82" t="s">
        <v>1743</v>
      </c>
      <c r="EM140" s="82" t="s">
        <v>1745</v>
      </c>
      <c r="EN140" s="86">
        <f>DY140</f>
        <v>16.5</v>
      </c>
      <c r="EO140" s="86">
        <f t="shared" si="153"/>
        <v>6.9641941385920605</v>
      </c>
      <c r="EP140" s="86">
        <f t="shared" si="153"/>
        <v>2</v>
      </c>
      <c r="EQ140" s="86">
        <f t="shared" si="153"/>
        <v>2</v>
      </c>
      <c r="ER140" s="86">
        <f>EG140</f>
        <v>19.5</v>
      </c>
      <c r="ES140" s="86">
        <f t="shared" si="154"/>
        <v>6.5192024052026492</v>
      </c>
      <c r="ET140" s="86">
        <f t="shared" si="154"/>
        <v>2</v>
      </c>
      <c r="EU140" s="86">
        <f t="shared" si="154"/>
        <v>2</v>
      </c>
      <c r="EV140" s="86">
        <f t="shared" si="127"/>
        <v>6.7453687816160217</v>
      </c>
      <c r="EW140" s="86">
        <f t="shared" si="128"/>
        <v>-0.44474958999666064</v>
      </c>
      <c r="EX140" s="86">
        <f t="shared" si="129"/>
        <v>1.0247252747252746</v>
      </c>
      <c r="EY140" s="86">
        <f t="shared" si="130"/>
        <v>0.5714285714285714</v>
      </c>
      <c r="EZ140" s="83">
        <f t="shared" si="131"/>
        <v>-0.25414262285523465</v>
      </c>
      <c r="FA140" s="83">
        <f t="shared" si="132"/>
        <v>0.33460417133886516</v>
      </c>
      <c r="FB140" s="83">
        <f t="shared" si="133"/>
        <v>4</v>
      </c>
      <c r="FC140" s="84" t="s">
        <v>125</v>
      </c>
    </row>
    <row r="141" spans="1:159" s="84" customFormat="1" ht="17.100000000000001" customHeight="1">
      <c r="A141" s="78" t="s">
        <v>1821</v>
      </c>
      <c r="B141" s="79" t="s">
        <v>1907</v>
      </c>
      <c r="C141" s="80" t="str">
        <f t="shared" si="150"/>
        <v>Nunes, L., Silva, I., Pité, M., Rego, F., Leather, S., &amp; Serrano, A.  2006.  Carabid (Coleoptera) community changes following prescribed burning and the potential use of carabids as indicators species to evaluate the effects of fire management in Mediterranean regions.. Silva Lusitana. 14(1): 85-100.</v>
      </c>
      <c r="D141" s="81" t="s">
        <v>1488</v>
      </c>
      <c r="E141" s="81">
        <v>2006</v>
      </c>
      <c r="F141" s="79" t="s">
        <v>1545</v>
      </c>
      <c r="G141" s="79" t="s">
        <v>598</v>
      </c>
      <c r="H141" s="81" t="s">
        <v>599</v>
      </c>
      <c r="I141" s="81" t="s">
        <v>600</v>
      </c>
      <c r="J141" s="79"/>
      <c r="K141" s="82" t="s">
        <v>601</v>
      </c>
      <c r="L141" s="82" t="s">
        <v>101</v>
      </c>
      <c r="M141" s="65" t="s">
        <v>73</v>
      </c>
      <c r="N141" s="63" t="s">
        <v>389</v>
      </c>
      <c r="O141" s="82" t="s">
        <v>602</v>
      </c>
      <c r="P141" s="84" t="s">
        <v>603</v>
      </c>
      <c r="Q141" s="82" t="s">
        <v>604</v>
      </c>
      <c r="R141" s="82" t="s">
        <v>604</v>
      </c>
      <c r="S141" s="79"/>
      <c r="T141" s="79" t="s">
        <v>1408</v>
      </c>
      <c r="U141" s="81">
        <v>8.0799999999999805</v>
      </c>
      <c r="V141" s="84">
        <v>41.88</v>
      </c>
      <c r="W141" s="81">
        <v>-8.0799999999999805</v>
      </c>
      <c r="X141" s="81">
        <v>550</v>
      </c>
      <c r="Y141" s="66" t="s">
        <v>1894</v>
      </c>
      <c r="Z141" s="66" t="s">
        <v>2201</v>
      </c>
      <c r="AA141" s="97" t="s">
        <v>49</v>
      </c>
      <c r="AB141" s="79" t="s">
        <v>64</v>
      </c>
      <c r="AC141" s="79" t="s">
        <v>235</v>
      </c>
      <c r="AD141" s="82"/>
      <c r="AE141" s="82"/>
      <c r="AF141" s="82" t="s">
        <v>64</v>
      </c>
      <c r="AG141" s="82" t="s">
        <v>92</v>
      </c>
      <c r="AH141" s="82" t="s">
        <v>106</v>
      </c>
      <c r="AI141" s="82" t="s">
        <v>276</v>
      </c>
      <c r="AJ141" s="86">
        <v>1</v>
      </c>
      <c r="AK141" s="86">
        <v>1</v>
      </c>
      <c r="AL141" s="86">
        <v>1</v>
      </c>
      <c r="AM141" s="84" t="s">
        <v>225</v>
      </c>
      <c r="AN141" s="84" t="s">
        <v>605</v>
      </c>
      <c r="AO141" s="84" t="s">
        <v>1588</v>
      </c>
      <c r="AP141" s="68" t="s">
        <v>2228</v>
      </c>
      <c r="AQ141" s="82" t="s">
        <v>94</v>
      </c>
      <c r="AR141" s="86">
        <v>1</v>
      </c>
      <c r="AS141" s="119">
        <v>25</v>
      </c>
      <c r="AT141" s="86"/>
      <c r="AU141" s="90"/>
      <c r="AV141" s="88">
        <v>0.8</v>
      </c>
      <c r="AW141" s="82" t="s">
        <v>606</v>
      </c>
      <c r="AX141" s="84" t="s">
        <v>80</v>
      </c>
      <c r="AY141" s="86">
        <v>1</v>
      </c>
      <c r="AZ141" s="86">
        <v>1</v>
      </c>
      <c r="BA141" s="86">
        <v>25</v>
      </c>
      <c r="BB141" s="86"/>
      <c r="BC141" s="82" t="s">
        <v>607</v>
      </c>
      <c r="BD141" s="182" t="s">
        <v>124</v>
      </c>
      <c r="BE141" s="96" t="s">
        <v>182</v>
      </c>
      <c r="BF141" s="137" t="s">
        <v>1751</v>
      </c>
      <c r="BG141" s="84" t="s">
        <v>21</v>
      </c>
      <c r="BH141" s="84" t="s">
        <v>81</v>
      </c>
      <c r="BI141" s="84" t="s">
        <v>225</v>
      </c>
      <c r="BJ141" s="89">
        <f>15/12</f>
        <v>1.25</v>
      </c>
      <c r="BK141" s="111" t="s">
        <v>608</v>
      </c>
      <c r="BL141" s="111" t="s">
        <v>608</v>
      </c>
      <c r="BM141" s="88">
        <v>1.25</v>
      </c>
      <c r="BN141" s="82" t="s">
        <v>389</v>
      </c>
      <c r="BO141" s="82" t="s">
        <v>609</v>
      </c>
      <c r="BP141" s="84" t="s">
        <v>64</v>
      </c>
      <c r="BQ141" s="63"/>
      <c r="BR141" s="82" t="s">
        <v>2124</v>
      </c>
      <c r="BS141" s="82" t="s">
        <v>2167</v>
      </c>
      <c r="BT141" s="84" t="s">
        <v>72</v>
      </c>
      <c r="BU141" s="86">
        <v>0.05</v>
      </c>
      <c r="BV141" s="86">
        <f>0.11-0.05</f>
        <v>0.06</v>
      </c>
      <c r="BW141" s="90">
        <v>0.25</v>
      </c>
      <c r="BX141" s="86">
        <v>25</v>
      </c>
      <c r="BY141" s="86">
        <v>1</v>
      </c>
      <c r="BZ141" s="82" t="s">
        <v>610</v>
      </c>
      <c r="CA141" s="82" t="s">
        <v>2240</v>
      </c>
      <c r="CB141" s="82" t="s">
        <v>80</v>
      </c>
      <c r="CC141" s="86">
        <v>0.09</v>
      </c>
      <c r="CD141" s="100">
        <v>0.08</v>
      </c>
      <c r="CE141" s="90">
        <v>0.45</v>
      </c>
      <c r="CF141" s="86">
        <v>25</v>
      </c>
      <c r="CG141" s="86">
        <v>1</v>
      </c>
      <c r="CH141" s="82" t="s">
        <v>610</v>
      </c>
      <c r="CI141" s="82" t="s">
        <v>2240</v>
      </c>
      <c r="CJ141" s="82"/>
      <c r="CK141" s="86"/>
      <c r="CL141" s="86"/>
      <c r="CM141" s="86"/>
      <c r="CN141" s="86"/>
      <c r="CO141" s="86"/>
      <c r="CP141" s="82"/>
      <c r="CQ141" s="82"/>
      <c r="CR141" s="82"/>
      <c r="CS141" s="86"/>
      <c r="CT141" s="86"/>
      <c r="CU141" s="86"/>
      <c r="CV141" s="86"/>
      <c r="CW141" s="86"/>
      <c r="CX141" s="82"/>
      <c r="CY141" s="82"/>
      <c r="CZ141" s="82"/>
      <c r="DA141" s="82"/>
      <c r="DB141" s="82"/>
      <c r="DC141" s="82"/>
      <c r="DD141" s="82"/>
      <c r="DE141" s="82"/>
      <c r="DF141" s="82"/>
      <c r="DG141" s="82"/>
      <c r="DH141" s="82"/>
      <c r="DI141" s="82"/>
      <c r="DJ141" s="82"/>
      <c r="DK141" s="82"/>
      <c r="DL141" s="82"/>
      <c r="DM141" s="82"/>
      <c r="DN141" s="82"/>
      <c r="DO141" s="82"/>
      <c r="DP141" s="82"/>
      <c r="DQ141" s="82"/>
      <c r="DR141" s="82"/>
      <c r="DS141" s="82"/>
      <c r="DT141" s="82"/>
      <c r="DU141" s="82"/>
      <c r="DV141" s="82"/>
      <c r="DW141" s="82"/>
      <c r="DX141" s="82"/>
      <c r="DY141" s="86"/>
      <c r="DZ141" s="86"/>
      <c r="EA141" s="86"/>
      <c r="EB141" s="86"/>
      <c r="EC141" s="86"/>
      <c r="ED141" s="82"/>
      <c r="EE141" s="82"/>
      <c r="EF141" s="82"/>
      <c r="EG141" s="86"/>
      <c r="EH141" s="86"/>
      <c r="EI141" s="86"/>
      <c r="EJ141" s="86"/>
      <c r="EK141" s="86"/>
      <c r="EL141" s="82"/>
      <c r="EM141" s="82"/>
      <c r="EN141" s="86">
        <f t="shared" ref="EN141:EN148" si="155">BU141</f>
        <v>0.05</v>
      </c>
      <c r="EO141" s="90">
        <v>0.25</v>
      </c>
      <c r="EP141" s="86">
        <f t="shared" ref="EO141:EQ148" si="156">BX141</f>
        <v>25</v>
      </c>
      <c r="EQ141" s="86">
        <f t="shared" si="156"/>
        <v>1</v>
      </c>
      <c r="ER141" s="86">
        <f t="shared" ref="ER141:ER148" si="157">CC141</f>
        <v>0.09</v>
      </c>
      <c r="ES141" s="90">
        <f t="shared" ref="ES141:EU148" si="158">CE141</f>
        <v>0.45</v>
      </c>
      <c r="ET141" s="86">
        <f t="shared" si="158"/>
        <v>25</v>
      </c>
      <c r="EU141" s="86">
        <f t="shared" si="158"/>
        <v>1</v>
      </c>
      <c r="EV141" s="86">
        <f t="shared" si="127"/>
        <v>0.36400549446402591</v>
      </c>
      <c r="EW141" s="86">
        <f t="shared" si="128"/>
        <v>-0.1098884511589512</v>
      </c>
      <c r="EX141" s="86">
        <f t="shared" si="129"/>
        <v>2.0001207547169813</v>
      </c>
      <c r="EY141" s="86">
        <f t="shared" si="130"/>
        <v>0.98429319371727753</v>
      </c>
      <c r="EZ141" s="83">
        <f t="shared" si="131"/>
        <v>-0.10816245454388915</v>
      </c>
      <c r="FA141" s="83">
        <f t="shared" si="132"/>
        <v>1.9377831735620457</v>
      </c>
      <c r="FB141" s="83">
        <f t="shared" si="133"/>
        <v>2</v>
      </c>
      <c r="FC141" s="84" t="s">
        <v>125</v>
      </c>
    </row>
    <row r="142" spans="1:159" s="82" customFormat="1" ht="17.100000000000001" customHeight="1">
      <c r="A142" s="78" t="s">
        <v>1821</v>
      </c>
      <c r="B142" s="79" t="s">
        <v>1907</v>
      </c>
      <c r="C142" s="80" t="str">
        <f t="shared" si="150"/>
        <v>Nunes, L., Silva, I., Pité, M., Rego, F., Leather, S., &amp; Serrano, A.  2006.  Carabid (Coleoptera) community changes following prescribed burning and the potential use of carabids as indicators species to evaluate the effects of fire management in Mediterranean regions.. Silva Lusitana. 14(1): 85-100.</v>
      </c>
      <c r="D142" s="81" t="s">
        <v>1488</v>
      </c>
      <c r="E142" s="81">
        <v>2006</v>
      </c>
      <c r="F142" s="79" t="s">
        <v>1545</v>
      </c>
      <c r="G142" s="79" t="s">
        <v>598</v>
      </c>
      <c r="H142" s="81" t="s">
        <v>599</v>
      </c>
      <c r="I142" s="81" t="s">
        <v>600</v>
      </c>
      <c r="J142" s="79"/>
      <c r="K142" s="82" t="s">
        <v>601</v>
      </c>
      <c r="L142" s="82" t="s">
        <v>101</v>
      </c>
      <c r="M142" s="65" t="s">
        <v>73</v>
      </c>
      <c r="N142" s="63" t="s">
        <v>389</v>
      </c>
      <c r="P142" s="84" t="s">
        <v>603</v>
      </c>
      <c r="Q142" s="82" t="s">
        <v>604</v>
      </c>
      <c r="R142" s="82" t="s">
        <v>604</v>
      </c>
      <c r="S142" s="79"/>
      <c r="T142" s="79" t="s">
        <v>1408</v>
      </c>
      <c r="U142" s="81">
        <v>8.0799999999999805</v>
      </c>
      <c r="V142" s="84">
        <v>41.88</v>
      </c>
      <c r="W142" s="81">
        <v>-8.0799999999999805</v>
      </c>
      <c r="X142" s="81">
        <v>550</v>
      </c>
      <c r="Y142" s="66" t="s">
        <v>1894</v>
      </c>
      <c r="Z142" s="66" t="s">
        <v>2201</v>
      </c>
      <c r="AA142" s="97" t="s">
        <v>49</v>
      </c>
      <c r="AB142" s="79" t="s">
        <v>64</v>
      </c>
      <c r="AC142" s="79" t="s">
        <v>235</v>
      </c>
      <c r="AF142" s="82" t="s">
        <v>64</v>
      </c>
      <c r="AG142" s="82" t="s">
        <v>92</v>
      </c>
      <c r="AH142" s="82" t="s">
        <v>106</v>
      </c>
      <c r="AI142" s="82" t="s">
        <v>276</v>
      </c>
      <c r="AJ142" s="86">
        <v>1</v>
      </c>
      <c r="AK142" s="86">
        <v>1</v>
      </c>
      <c r="AL142" s="86">
        <v>1</v>
      </c>
      <c r="AM142" s="84" t="s">
        <v>225</v>
      </c>
      <c r="AN142" s="84" t="s">
        <v>605</v>
      </c>
      <c r="AO142" s="84" t="s">
        <v>1588</v>
      </c>
      <c r="AP142" s="68" t="s">
        <v>2228</v>
      </c>
      <c r="AQ142" s="82" t="s">
        <v>94</v>
      </c>
      <c r="AR142" s="86">
        <v>1</v>
      </c>
      <c r="AS142" s="119">
        <v>25</v>
      </c>
      <c r="AT142" s="86"/>
      <c r="AU142" s="90"/>
      <c r="AV142" s="88">
        <v>0.8</v>
      </c>
      <c r="AW142" s="82" t="s">
        <v>606</v>
      </c>
      <c r="AX142" s="84" t="s">
        <v>80</v>
      </c>
      <c r="AY142" s="86">
        <v>1</v>
      </c>
      <c r="AZ142" s="86">
        <v>1</v>
      </c>
      <c r="BA142" s="86">
        <v>25</v>
      </c>
      <c r="BB142" s="86"/>
      <c r="BC142" s="82" t="s">
        <v>607</v>
      </c>
      <c r="BD142" s="93" t="s">
        <v>122</v>
      </c>
      <c r="BE142" s="84" t="s">
        <v>157</v>
      </c>
      <c r="BF142" s="83" t="s">
        <v>1751</v>
      </c>
      <c r="BG142" s="84" t="s">
        <v>21</v>
      </c>
      <c r="BH142" s="84" t="s">
        <v>81</v>
      </c>
      <c r="BI142" s="84" t="s">
        <v>225</v>
      </c>
      <c r="BJ142" s="89">
        <f>15/12</f>
        <v>1.25</v>
      </c>
      <c r="BK142" s="111" t="s">
        <v>608</v>
      </c>
      <c r="BL142" s="111" t="s">
        <v>608</v>
      </c>
      <c r="BM142" s="88">
        <v>1.25</v>
      </c>
      <c r="BN142" s="82" t="s">
        <v>389</v>
      </c>
      <c r="BO142" s="82" t="s">
        <v>609</v>
      </c>
      <c r="BP142" s="84" t="s">
        <v>64</v>
      </c>
      <c r="BQ142" s="63" t="s">
        <v>579</v>
      </c>
      <c r="BR142" s="82" t="s">
        <v>2124</v>
      </c>
      <c r="BS142" s="82" t="s">
        <v>2167</v>
      </c>
      <c r="BT142" s="84" t="s">
        <v>72</v>
      </c>
      <c r="BU142" s="86">
        <v>1.1000000000000001</v>
      </c>
      <c r="BV142" s="86">
        <v>0.17</v>
      </c>
      <c r="BW142" s="90">
        <v>0.85000000000000009</v>
      </c>
      <c r="BX142" s="86">
        <v>25</v>
      </c>
      <c r="BY142" s="86">
        <v>1</v>
      </c>
      <c r="BZ142" s="82" t="s">
        <v>610</v>
      </c>
      <c r="CA142" s="82" t="s">
        <v>1369</v>
      </c>
      <c r="CB142" s="82" t="s">
        <v>80</v>
      </c>
      <c r="CC142" s="100">
        <v>1.9</v>
      </c>
      <c r="CD142" s="100">
        <v>0.11</v>
      </c>
      <c r="CE142" s="90">
        <v>0.55000000000000004</v>
      </c>
      <c r="CF142" s="86">
        <v>25</v>
      </c>
      <c r="CG142" s="86">
        <v>1</v>
      </c>
      <c r="CH142" s="82" t="s">
        <v>610</v>
      </c>
      <c r="CI142" s="82" t="s">
        <v>2240</v>
      </c>
      <c r="CK142" s="86"/>
      <c r="CL142" s="86"/>
      <c r="CM142" s="86"/>
      <c r="CN142" s="86"/>
      <c r="CO142" s="86"/>
      <c r="CS142" s="86"/>
      <c r="CT142" s="86"/>
      <c r="CU142" s="86"/>
      <c r="CV142" s="86"/>
      <c r="CW142" s="86"/>
      <c r="DY142" s="86"/>
      <c r="DZ142" s="86"/>
      <c r="EA142" s="86"/>
      <c r="EB142" s="86"/>
      <c r="EC142" s="86"/>
      <c r="EG142" s="86"/>
      <c r="EH142" s="86"/>
      <c r="EI142" s="86"/>
      <c r="EJ142" s="86"/>
      <c r="EK142" s="86"/>
      <c r="EN142" s="86">
        <f t="shared" si="155"/>
        <v>1.1000000000000001</v>
      </c>
      <c r="EO142" s="90">
        <v>0.85</v>
      </c>
      <c r="EP142" s="86">
        <f t="shared" si="156"/>
        <v>25</v>
      </c>
      <c r="EQ142" s="86">
        <f t="shared" si="156"/>
        <v>1</v>
      </c>
      <c r="ER142" s="86">
        <f t="shared" si="157"/>
        <v>1.9</v>
      </c>
      <c r="ES142" s="90">
        <f t="shared" si="158"/>
        <v>0.55000000000000004</v>
      </c>
      <c r="ET142" s="86">
        <f t="shared" si="158"/>
        <v>25</v>
      </c>
      <c r="EU142" s="86">
        <f t="shared" si="158"/>
        <v>1</v>
      </c>
      <c r="EV142" s="86">
        <f t="shared" si="127"/>
        <v>0.71589105316381763</v>
      </c>
      <c r="EW142" s="86">
        <f t="shared" si="128"/>
        <v>-1.1174884732313248</v>
      </c>
      <c r="EX142" s="86">
        <f t="shared" si="129"/>
        <v>2.0124878048780488</v>
      </c>
      <c r="EY142" s="86">
        <f t="shared" si="130"/>
        <v>0.98429319371727753</v>
      </c>
      <c r="EZ142" s="83">
        <f t="shared" si="131"/>
        <v>-1.0999362982591052</v>
      </c>
      <c r="FA142" s="83">
        <f t="shared" si="132"/>
        <v>1.9497647809985954</v>
      </c>
      <c r="FB142" s="83">
        <f t="shared" si="133"/>
        <v>2</v>
      </c>
      <c r="FC142" s="84" t="s">
        <v>125</v>
      </c>
    </row>
    <row r="143" spans="1:159" ht="17.100000000000001" customHeight="1">
      <c r="A143" s="78" t="s">
        <v>1821</v>
      </c>
      <c r="B143" s="79" t="s">
        <v>1906</v>
      </c>
      <c r="C143" s="80" t="str">
        <f t="shared" si="150"/>
        <v>Nunes, L., Silva, I., Pité, M., Rego, F., Leather, S., &amp; Serrano, A.  2006.  Carabid (Coleoptera) community changes following prescribed burning and the potential use of carabids as indicators species to evaluate the effects of fire management in Mediterranean regions.. Silva Lusitana. 14(1): 85-100.</v>
      </c>
      <c r="D143" s="81" t="s">
        <v>1488</v>
      </c>
      <c r="E143" s="81">
        <v>2006</v>
      </c>
      <c r="F143" s="79" t="s">
        <v>1545</v>
      </c>
      <c r="G143" s="79" t="s">
        <v>598</v>
      </c>
      <c r="H143" s="81" t="s">
        <v>599</v>
      </c>
      <c r="I143" s="81" t="s">
        <v>600</v>
      </c>
      <c r="J143" s="79"/>
      <c r="K143" s="82" t="s">
        <v>601</v>
      </c>
      <c r="L143" s="82" t="s">
        <v>101</v>
      </c>
      <c r="M143" s="65" t="s">
        <v>73</v>
      </c>
      <c r="N143" s="63" t="s">
        <v>389</v>
      </c>
      <c r="O143" s="82"/>
      <c r="P143" s="84" t="s">
        <v>603</v>
      </c>
      <c r="Q143" s="82" t="s">
        <v>604</v>
      </c>
      <c r="R143" s="82" t="s">
        <v>604</v>
      </c>
      <c r="S143" s="79"/>
      <c r="T143" s="79" t="s">
        <v>1408</v>
      </c>
      <c r="U143" s="81">
        <v>8.0799999999999805</v>
      </c>
      <c r="V143" s="84">
        <v>41.88</v>
      </c>
      <c r="W143" s="81">
        <v>-8.0799999999999805</v>
      </c>
      <c r="X143" s="81">
        <v>550</v>
      </c>
      <c r="Y143" s="66" t="s">
        <v>1894</v>
      </c>
      <c r="Z143" s="66" t="s">
        <v>2201</v>
      </c>
      <c r="AA143" s="97" t="s">
        <v>49</v>
      </c>
      <c r="AB143" s="79" t="s">
        <v>64</v>
      </c>
      <c r="AC143" s="79" t="s">
        <v>235</v>
      </c>
      <c r="AD143" s="82"/>
      <c r="AE143" s="82"/>
      <c r="AF143" s="82" t="s">
        <v>64</v>
      </c>
      <c r="AG143" s="82" t="s">
        <v>92</v>
      </c>
      <c r="AH143" s="82" t="s">
        <v>106</v>
      </c>
      <c r="AI143" s="82" t="s">
        <v>276</v>
      </c>
      <c r="AJ143" s="86">
        <v>1</v>
      </c>
      <c r="AK143" s="86">
        <v>1</v>
      </c>
      <c r="AL143" s="86">
        <v>1</v>
      </c>
      <c r="AM143" s="84" t="s">
        <v>225</v>
      </c>
      <c r="AN143" s="84" t="s">
        <v>611</v>
      </c>
      <c r="AO143" s="84" t="s">
        <v>526</v>
      </c>
      <c r="AP143" s="68" t="s">
        <v>2227</v>
      </c>
      <c r="AQ143" s="82" t="s">
        <v>94</v>
      </c>
      <c r="AR143" s="86">
        <v>1</v>
      </c>
      <c r="AS143" s="119">
        <v>25</v>
      </c>
      <c r="AT143" s="86"/>
      <c r="AU143" s="90"/>
      <c r="AV143" s="88">
        <v>1</v>
      </c>
      <c r="AW143" s="82" t="s">
        <v>612</v>
      </c>
      <c r="AX143" s="84" t="s">
        <v>80</v>
      </c>
      <c r="AY143" s="86">
        <v>1</v>
      </c>
      <c r="AZ143" s="86">
        <v>1</v>
      </c>
      <c r="BA143" s="86">
        <v>25</v>
      </c>
      <c r="BB143" s="86"/>
      <c r="BC143" s="82" t="s">
        <v>607</v>
      </c>
      <c r="BD143" s="83" t="s">
        <v>124</v>
      </c>
      <c r="BE143" s="138" t="s">
        <v>182</v>
      </c>
      <c r="BF143" s="83" t="s">
        <v>1751</v>
      </c>
      <c r="BG143" s="84" t="s">
        <v>21</v>
      </c>
      <c r="BH143" s="84" t="s">
        <v>81</v>
      </c>
      <c r="BI143" s="84" t="s">
        <v>225</v>
      </c>
      <c r="BJ143" s="89">
        <f>3.5/12</f>
        <v>0.29166666666666669</v>
      </c>
      <c r="BK143" s="111" t="s">
        <v>613</v>
      </c>
      <c r="BL143" s="111" t="s">
        <v>613</v>
      </c>
      <c r="BM143" s="88">
        <v>0.29166666666666669</v>
      </c>
      <c r="BN143" s="82" t="s">
        <v>389</v>
      </c>
      <c r="BO143" s="82" t="s">
        <v>609</v>
      </c>
      <c r="BP143" s="84" t="s">
        <v>64</v>
      </c>
      <c r="BR143" s="82" t="s">
        <v>2124</v>
      </c>
      <c r="BS143" s="82" t="s">
        <v>2167</v>
      </c>
      <c r="BT143" s="84" t="s">
        <v>72</v>
      </c>
      <c r="BU143" s="86">
        <v>0.06</v>
      </c>
      <c r="BV143" s="86">
        <v>0.06</v>
      </c>
      <c r="BW143" s="90">
        <v>0.3</v>
      </c>
      <c r="BX143" s="86">
        <v>25</v>
      </c>
      <c r="BY143" s="86">
        <v>1</v>
      </c>
      <c r="BZ143" s="82" t="s">
        <v>610</v>
      </c>
      <c r="CA143" s="82" t="s">
        <v>2240</v>
      </c>
      <c r="CB143" s="82" t="s">
        <v>80</v>
      </c>
      <c r="CC143" s="86">
        <v>0.09</v>
      </c>
      <c r="CD143" s="100">
        <v>0.08</v>
      </c>
      <c r="CE143" s="90">
        <v>0.45</v>
      </c>
      <c r="CF143" s="86">
        <v>25</v>
      </c>
      <c r="CG143" s="86">
        <v>1</v>
      </c>
      <c r="CH143" s="82" t="s">
        <v>610</v>
      </c>
      <c r="CI143" s="82" t="s">
        <v>2240</v>
      </c>
      <c r="CJ143" s="82"/>
      <c r="CK143" s="86"/>
      <c r="CL143" s="86"/>
      <c r="CM143" s="86"/>
      <c r="CN143" s="86"/>
      <c r="CO143" s="86"/>
      <c r="CP143" s="82"/>
      <c r="CQ143" s="82"/>
      <c r="CR143" s="82"/>
      <c r="CS143" s="86"/>
      <c r="CT143" s="86"/>
      <c r="CU143" s="86"/>
      <c r="CV143" s="86"/>
      <c r="CW143" s="86"/>
      <c r="CX143" s="82"/>
      <c r="CY143" s="82"/>
      <c r="CZ143" s="82"/>
      <c r="DA143" s="82"/>
      <c r="DB143" s="82"/>
      <c r="DC143" s="82"/>
      <c r="DD143" s="82"/>
      <c r="DE143" s="82"/>
      <c r="DF143" s="82"/>
      <c r="DG143" s="82"/>
      <c r="DH143" s="82"/>
      <c r="DI143" s="82"/>
      <c r="DJ143" s="82"/>
      <c r="DK143" s="82"/>
      <c r="DL143" s="82"/>
      <c r="DM143" s="82"/>
      <c r="DN143" s="82"/>
      <c r="DO143" s="82"/>
      <c r="DP143" s="82"/>
      <c r="DQ143" s="82"/>
      <c r="DR143" s="82"/>
      <c r="DS143" s="82"/>
      <c r="DT143" s="82"/>
      <c r="DU143" s="82"/>
      <c r="DV143" s="82"/>
      <c r="DW143" s="82"/>
      <c r="DX143" s="82"/>
      <c r="DY143" s="86"/>
      <c r="DZ143" s="86"/>
      <c r="EA143" s="86"/>
      <c r="EB143" s="86"/>
      <c r="EC143" s="86"/>
      <c r="ED143" s="82"/>
      <c r="EE143" s="82"/>
      <c r="EF143" s="82"/>
      <c r="EG143" s="86"/>
      <c r="EH143" s="86"/>
      <c r="EI143" s="86"/>
      <c r="EJ143" s="86"/>
      <c r="EK143" s="86"/>
      <c r="EL143" s="82"/>
      <c r="EM143" s="82"/>
      <c r="EN143" s="86">
        <f t="shared" si="155"/>
        <v>0.06</v>
      </c>
      <c r="EO143" s="90">
        <v>0.3</v>
      </c>
      <c r="EP143" s="86">
        <f t="shared" si="156"/>
        <v>25</v>
      </c>
      <c r="EQ143" s="86">
        <f t="shared" si="156"/>
        <v>1</v>
      </c>
      <c r="ER143" s="86">
        <f t="shared" si="157"/>
        <v>0.09</v>
      </c>
      <c r="ES143" s="90">
        <f t="shared" si="158"/>
        <v>0.45</v>
      </c>
      <c r="ET143" s="86">
        <f t="shared" si="158"/>
        <v>25</v>
      </c>
      <c r="EU143" s="86">
        <f t="shared" si="158"/>
        <v>1</v>
      </c>
      <c r="EV143" s="86">
        <f t="shared" si="127"/>
        <v>0.38242646351945891</v>
      </c>
      <c r="EW143" s="86">
        <f t="shared" si="128"/>
        <v>-7.8446454055273604E-2</v>
      </c>
      <c r="EX143" s="86">
        <f t="shared" si="129"/>
        <v>2.0000615384615386</v>
      </c>
      <c r="EY143" s="86">
        <f t="shared" si="130"/>
        <v>0.98429319371727753</v>
      </c>
      <c r="EZ143" s="83">
        <f t="shared" si="131"/>
        <v>-7.7214310797860938E-2</v>
      </c>
      <c r="FA143" s="83">
        <f t="shared" si="132"/>
        <v>1.9377258028942359</v>
      </c>
      <c r="FB143" s="83">
        <f t="shared" si="133"/>
        <v>2</v>
      </c>
      <c r="FC143" s="84" t="s">
        <v>125</v>
      </c>
    </row>
    <row r="144" spans="1:159" s="82" customFormat="1" ht="17.100000000000001" customHeight="1">
      <c r="A144" s="78" t="s">
        <v>1821</v>
      </c>
      <c r="B144" s="79" t="s">
        <v>1906</v>
      </c>
      <c r="C144" s="80" t="str">
        <f t="shared" si="150"/>
        <v>Nunes, L., Silva, I., Pité, M., Rego, F., Leather, S., &amp; Serrano, A.  2006.  Carabid (Coleoptera) community changes following prescribed burning and the potential use of carabids as indicators species to evaluate the effects of fire management in Mediterranean regions.. Silva Lusitana. 14(1): 85-100.</v>
      </c>
      <c r="D144" s="81" t="s">
        <v>1488</v>
      </c>
      <c r="E144" s="81">
        <v>2006</v>
      </c>
      <c r="F144" s="79" t="s">
        <v>1545</v>
      </c>
      <c r="G144" s="79" t="s">
        <v>598</v>
      </c>
      <c r="H144" s="81" t="s">
        <v>599</v>
      </c>
      <c r="I144" s="81" t="s">
        <v>600</v>
      </c>
      <c r="J144" s="79"/>
      <c r="K144" s="82" t="s">
        <v>601</v>
      </c>
      <c r="L144" s="82" t="s">
        <v>101</v>
      </c>
      <c r="M144" s="65" t="s">
        <v>73</v>
      </c>
      <c r="N144" s="63" t="s">
        <v>389</v>
      </c>
      <c r="P144" s="84" t="s">
        <v>603</v>
      </c>
      <c r="Q144" s="82" t="s">
        <v>604</v>
      </c>
      <c r="R144" s="82" t="s">
        <v>604</v>
      </c>
      <c r="S144" s="79"/>
      <c r="T144" s="79" t="s">
        <v>1408</v>
      </c>
      <c r="U144" s="81">
        <v>8.0799999999999805</v>
      </c>
      <c r="V144" s="84">
        <v>41.88</v>
      </c>
      <c r="W144" s="81">
        <v>-8.0799999999999805</v>
      </c>
      <c r="X144" s="81">
        <v>550</v>
      </c>
      <c r="Y144" s="66" t="s">
        <v>1894</v>
      </c>
      <c r="Z144" s="66" t="s">
        <v>2201</v>
      </c>
      <c r="AA144" s="97" t="s">
        <v>49</v>
      </c>
      <c r="AB144" s="79" t="s">
        <v>64</v>
      </c>
      <c r="AC144" s="79" t="s">
        <v>235</v>
      </c>
      <c r="AF144" s="82" t="s">
        <v>64</v>
      </c>
      <c r="AG144" s="82" t="s">
        <v>92</v>
      </c>
      <c r="AH144" s="82" t="s">
        <v>106</v>
      </c>
      <c r="AI144" s="82" t="s">
        <v>276</v>
      </c>
      <c r="AJ144" s="86">
        <v>1</v>
      </c>
      <c r="AK144" s="86">
        <v>1</v>
      </c>
      <c r="AL144" s="86">
        <v>1</v>
      </c>
      <c r="AM144" s="84" t="s">
        <v>225</v>
      </c>
      <c r="AN144" s="84" t="s">
        <v>611</v>
      </c>
      <c r="AO144" s="84" t="s">
        <v>526</v>
      </c>
      <c r="AP144" s="68" t="s">
        <v>2227</v>
      </c>
      <c r="AQ144" s="82" t="s">
        <v>94</v>
      </c>
      <c r="AR144" s="86">
        <v>1</v>
      </c>
      <c r="AS144" s="119">
        <v>25</v>
      </c>
      <c r="AT144" s="86"/>
      <c r="AU144" s="90"/>
      <c r="AV144" s="88">
        <v>1</v>
      </c>
      <c r="AW144" s="82" t="s">
        <v>612</v>
      </c>
      <c r="AX144" s="84" t="s">
        <v>80</v>
      </c>
      <c r="AY144" s="86">
        <v>1</v>
      </c>
      <c r="AZ144" s="86">
        <v>1</v>
      </c>
      <c r="BA144" s="86">
        <v>25</v>
      </c>
      <c r="BB144" s="86"/>
      <c r="BC144" s="82" t="s">
        <v>607</v>
      </c>
      <c r="BD144" s="93" t="s">
        <v>122</v>
      </c>
      <c r="BE144" s="84" t="s">
        <v>157</v>
      </c>
      <c r="BF144" s="83" t="s">
        <v>1751</v>
      </c>
      <c r="BG144" s="84" t="s">
        <v>21</v>
      </c>
      <c r="BH144" s="84" t="s">
        <v>81</v>
      </c>
      <c r="BI144" s="84" t="s">
        <v>225</v>
      </c>
      <c r="BJ144" s="89">
        <f>3.5/12</f>
        <v>0.29166666666666669</v>
      </c>
      <c r="BK144" s="111" t="s">
        <v>613</v>
      </c>
      <c r="BL144" s="111" t="s">
        <v>613</v>
      </c>
      <c r="BM144" s="88">
        <v>0.3</v>
      </c>
      <c r="BN144" s="82" t="s">
        <v>389</v>
      </c>
      <c r="BO144" s="82" t="s">
        <v>609</v>
      </c>
      <c r="BP144" s="84" t="s">
        <v>64</v>
      </c>
      <c r="BQ144" s="63" t="s">
        <v>579</v>
      </c>
      <c r="BR144" s="82" t="s">
        <v>2124</v>
      </c>
      <c r="BS144" s="82" t="s">
        <v>2167</v>
      </c>
      <c r="BT144" s="84" t="s">
        <v>72</v>
      </c>
      <c r="BU144" s="86">
        <v>1.8</v>
      </c>
      <c r="BV144" s="86">
        <v>0.13</v>
      </c>
      <c r="BW144" s="90">
        <v>0.65</v>
      </c>
      <c r="BX144" s="86">
        <v>25</v>
      </c>
      <c r="BY144" s="86">
        <v>1</v>
      </c>
      <c r="BZ144" s="82" t="s">
        <v>610</v>
      </c>
      <c r="CA144" s="82" t="s">
        <v>1369</v>
      </c>
      <c r="CB144" s="82" t="s">
        <v>80</v>
      </c>
      <c r="CC144" s="100">
        <v>1.9</v>
      </c>
      <c r="CD144" s="100">
        <v>0.11</v>
      </c>
      <c r="CE144" s="90">
        <v>0.55000000000000004</v>
      </c>
      <c r="CF144" s="86">
        <v>25</v>
      </c>
      <c r="CG144" s="86">
        <v>1</v>
      </c>
      <c r="CH144" s="82" t="s">
        <v>610</v>
      </c>
      <c r="CI144" s="82" t="s">
        <v>1369</v>
      </c>
      <c r="CK144" s="86"/>
      <c r="CL144" s="86"/>
      <c r="CM144" s="86"/>
      <c r="CN144" s="86"/>
      <c r="CO144" s="86"/>
      <c r="CS144" s="86"/>
      <c r="CT144" s="86"/>
      <c r="CU144" s="86"/>
      <c r="CV144" s="86"/>
      <c r="CW144" s="86"/>
      <c r="DY144" s="86"/>
      <c r="DZ144" s="86"/>
      <c r="EA144" s="86"/>
      <c r="EB144" s="86"/>
      <c r="EC144" s="86"/>
      <c r="EG144" s="86"/>
      <c r="EH144" s="86"/>
      <c r="EI144" s="86"/>
      <c r="EJ144" s="86"/>
      <c r="EK144" s="86"/>
      <c r="EN144" s="86">
        <f t="shared" si="155"/>
        <v>1.8</v>
      </c>
      <c r="EO144" s="90">
        <f t="shared" si="156"/>
        <v>0.65</v>
      </c>
      <c r="EP144" s="86">
        <f t="shared" si="156"/>
        <v>25</v>
      </c>
      <c r="EQ144" s="86">
        <f t="shared" si="156"/>
        <v>1</v>
      </c>
      <c r="ER144" s="86">
        <f t="shared" si="157"/>
        <v>1.9</v>
      </c>
      <c r="ES144" s="90">
        <f t="shared" si="158"/>
        <v>0.55000000000000004</v>
      </c>
      <c r="ET144" s="86">
        <f t="shared" si="158"/>
        <v>25</v>
      </c>
      <c r="EU144" s="86">
        <f t="shared" si="158"/>
        <v>1</v>
      </c>
      <c r="EV144" s="86">
        <f t="shared" si="127"/>
        <v>0.60207972893961481</v>
      </c>
      <c r="EW144" s="86">
        <f t="shared" si="128"/>
        <v>-0.1660909597074797</v>
      </c>
      <c r="EX144" s="86">
        <f t="shared" si="129"/>
        <v>2.0002758620689653</v>
      </c>
      <c r="EY144" s="86">
        <f t="shared" si="130"/>
        <v>0.98429319371727753</v>
      </c>
      <c r="EZ144" s="83">
        <f t="shared" si="131"/>
        <v>-0.16348220117804285</v>
      </c>
      <c r="FA144" s="83">
        <f t="shared" si="132"/>
        <v>1.9379334466973359</v>
      </c>
      <c r="FB144" s="83">
        <f t="shared" si="133"/>
        <v>2</v>
      </c>
      <c r="FC144" s="84" t="s">
        <v>125</v>
      </c>
    </row>
    <row r="145" spans="1:159" s="82" customFormat="1" ht="17.100000000000001" customHeight="1">
      <c r="A145" s="78" t="s">
        <v>1821</v>
      </c>
      <c r="B145" s="79" t="s">
        <v>1908</v>
      </c>
      <c r="C145" s="80" t="str">
        <f t="shared" si="150"/>
        <v>Nunes, L., Silva, I., Pité, M., Rego, F., Leather, S., &amp; Serrano, A.  2006.  Carabid (Coleoptera) community changes following prescribed burning and the potential use of carabids as indicators species to evaluate the effects of fire management in Mediterranean regions.. Silva Lusitana. 14(1): 85-100.</v>
      </c>
      <c r="D145" s="81" t="s">
        <v>1488</v>
      </c>
      <c r="E145" s="81">
        <v>2006</v>
      </c>
      <c r="F145" s="79" t="s">
        <v>1545</v>
      </c>
      <c r="G145" s="79" t="s">
        <v>598</v>
      </c>
      <c r="H145" s="81" t="s">
        <v>599</v>
      </c>
      <c r="I145" s="81" t="s">
        <v>600</v>
      </c>
      <c r="J145" s="79"/>
      <c r="K145" s="82" t="s">
        <v>601</v>
      </c>
      <c r="L145" s="82" t="s">
        <v>101</v>
      </c>
      <c r="M145" s="65" t="s">
        <v>73</v>
      </c>
      <c r="N145" s="63" t="s">
        <v>389</v>
      </c>
      <c r="P145" s="84" t="s">
        <v>603</v>
      </c>
      <c r="Q145" s="82" t="s">
        <v>604</v>
      </c>
      <c r="R145" s="82" t="s">
        <v>604</v>
      </c>
      <c r="S145" s="79"/>
      <c r="T145" s="79" t="s">
        <v>1408</v>
      </c>
      <c r="U145" s="81">
        <v>8.0799999999999805</v>
      </c>
      <c r="V145" s="84">
        <v>41.88</v>
      </c>
      <c r="W145" s="81">
        <v>-8.0799999999999805</v>
      </c>
      <c r="X145" s="81">
        <v>550</v>
      </c>
      <c r="Y145" s="66" t="s">
        <v>1894</v>
      </c>
      <c r="Z145" s="66" t="s">
        <v>2201</v>
      </c>
      <c r="AA145" s="97" t="s">
        <v>49</v>
      </c>
      <c r="AB145" s="79" t="s">
        <v>64</v>
      </c>
      <c r="AC145" s="79" t="s">
        <v>235</v>
      </c>
      <c r="AF145" s="82" t="s">
        <v>64</v>
      </c>
      <c r="AG145" s="82" t="s">
        <v>92</v>
      </c>
      <c r="AH145" s="82" t="s">
        <v>106</v>
      </c>
      <c r="AI145" s="82" t="s">
        <v>276</v>
      </c>
      <c r="AJ145" s="86">
        <v>1</v>
      </c>
      <c r="AK145" s="86">
        <v>1</v>
      </c>
      <c r="AL145" s="86">
        <v>1</v>
      </c>
      <c r="AM145" s="84" t="s">
        <v>225</v>
      </c>
      <c r="AN145" s="84" t="s">
        <v>605</v>
      </c>
      <c r="AO145" s="84" t="s">
        <v>1588</v>
      </c>
      <c r="AP145" s="68" t="s">
        <v>2228</v>
      </c>
      <c r="AQ145" s="82" t="s">
        <v>94</v>
      </c>
      <c r="AR145" s="86">
        <v>1</v>
      </c>
      <c r="AS145" s="119">
        <v>50</v>
      </c>
      <c r="AT145" s="86"/>
      <c r="AU145" s="90"/>
      <c r="AV145" s="88">
        <v>1</v>
      </c>
      <c r="AW145" s="82" t="s">
        <v>606</v>
      </c>
      <c r="AX145" s="84" t="s">
        <v>80</v>
      </c>
      <c r="AY145" s="86">
        <v>1</v>
      </c>
      <c r="AZ145" s="86">
        <v>1</v>
      </c>
      <c r="BA145" s="86">
        <v>50</v>
      </c>
      <c r="BB145" s="86"/>
      <c r="BC145" s="82" t="s">
        <v>612</v>
      </c>
      <c r="BD145" s="83" t="s">
        <v>124</v>
      </c>
      <c r="BE145" s="82" t="s">
        <v>182</v>
      </c>
      <c r="BF145" s="83" t="s">
        <v>1751</v>
      </c>
      <c r="BG145" s="84" t="s">
        <v>21</v>
      </c>
      <c r="BH145" s="84" t="s">
        <v>81</v>
      </c>
      <c r="BI145" s="84" t="s">
        <v>225</v>
      </c>
      <c r="BJ145" s="89">
        <f>3.5/12</f>
        <v>0.29166666666666669</v>
      </c>
      <c r="BK145" s="111" t="s">
        <v>613</v>
      </c>
      <c r="BL145" s="111" t="s">
        <v>613</v>
      </c>
      <c r="BM145" s="88">
        <v>0.30833333333333335</v>
      </c>
      <c r="BN145" s="82" t="s">
        <v>389</v>
      </c>
      <c r="BO145" s="82" t="s">
        <v>609</v>
      </c>
      <c r="BP145" s="84" t="s">
        <v>64</v>
      </c>
      <c r="BQ145" s="63"/>
      <c r="BR145" s="82" t="s">
        <v>2124</v>
      </c>
      <c r="BS145" s="82" t="s">
        <v>2167</v>
      </c>
      <c r="BT145" s="84" t="s">
        <v>72</v>
      </c>
      <c r="BU145" s="86">
        <v>0.03</v>
      </c>
      <c r="BV145" s="86">
        <v>0.02</v>
      </c>
      <c r="BW145" s="90">
        <v>0.21199999999999999</v>
      </c>
      <c r="BX145" s="86">
        <v>50</v>
      </c>
      <c r="BY145" s="86">
        <v>1</v>
      </c>
      <c r="BZ145" s="82" t="s">
        <v>610</v>
      </c>
      <c r="CA145" s="82" t="s">
        <v>2240</v>
      </c>
      <c r="CB145" s="82" t="s">
        <v>80</v>
      </c>
      <c r="CC145" s="100">
        <v>0.03</v>
      </c>
      <c r="CD145" s="100">
        <v>0.03</v>
      </c>
      <c r="CE145" s="90">
        <v>0.63639610306789274</v>
      </c>
      <c r="CF145" s="86">
        <v>50</v>
      </c>
      <c r="CG145" s="86">
        <v>1</v>
      </c>
      <c r="CH145" s="82" t="s">
        <v>610</v>
      </c>
      <c r="CI145" s="82" t="s">
        <v>1369</v>
      </c>
      <c r="CK145" s="86"/>
      <c r="CL145" s="86"/>
      <c r="CM145" s="86"/>
      <c r="CN145" s="86"/>
      <c r="CO145" s="86"/>
      <c r="CS145" s="86"/>
      <c r="CT145" s="86"/>
      <c r="CU145" s="86"/>
      <c r="CV145" s="86"/>
      <c r="CW145" s="86"/>
      <c r="DY145" s="86"/>
      <c r="DZ145" s="86"/>
      <c r="EA145" s="86"/>
      <c r="EB145" s="86"/>
      <c r="EC145" s="86"/>
      <c r="EG145" s="86"/>
      <c r="EH145" s="86"/>
      <c r="EI145" s="86"/>
      <c r="EJ145" s="86"/>
      <c r="EK145" s="86"/>
      <c r="EN145" s="86">
        <f t="shared" si="155"/>
        <v>0.03</v>
      </c>
      <c r="EO145" s="90">
        <f t="shared" si="156"/>
        <v>0.21199999999999999</v>
      </c>
      <c r="EP145" s="86">
        <f t="shared" si="156"/>
        <v>50</v>
      </c>
      <c r="EQ145" s="86">
        <v>2</v>
      </c>
      <c r="ER145" s="86">
        <f t="shared" si="157"/>
        <v>0.03</v>
      </c>
      <c r="ES145" s="90">
        <f t="shared" si="158"/>
        <v>0.63639610306789274</v>
      </c>
      <c r="ET145" s="86">
        <f t="shared" si="158"/>
        <v>50</v>
      </c>
      <c r="EU145" s="86">
        <v>2</v>
      </c>
      <c r="EV145" s="86">
        <f t="shared" si="127"/>
        <v>0.47431213351547308</v>
      </c>
      <c r="EW145" s="86">
        <f t="shared" si="128"/>
        <v>0</v>
      </c>
      <c r="EX145" s="86">
        <f t="shared" si="129"/>
        <v>1</v>
      </c>
      <c r="EY145" s="86">
        <f t="shared" si="130"/>
        <v>0.99232736572890023</v>
      </c>
      <c r="EZ145" s="83">
        <f t="shared" si="131"/>
        <v>0</v>
      </c>
      <c r="FA145" s="83">
        <f t="shared" si="132"/>
        <v>0.98471360077445858</v>
      </c>
      <c r="FB145" s="83">
        <f t="shared" si="133"/>
        <v>4</v>
      </c>
      <c r="FC145" s="84" t="s">
        <v>125</v>
      </c>
    </row>
    <row r="146" spans="1:159" s="82" customFormat="1" ht="17.100000000000001" customHeight="1">
      <c r="A146" s="78" t="s">
        <v>1821</v>
      </c>
      <c r="B146" s="79" t="s">
        <v>1908</v>
      </c>
      <c r="C146" s="80" t="str">
        <f t="shared" si="150"/>
        <v>Nunes, L., Silva, I., Pité, M., Rego, F., Leather, S., &amp; Serrano, A.  2006.  Carabid (Coleoptera) community changes following prescribed burning and the potential use of carabids as indicators species to evaluate the effects of fire management in Mediterranean regions.. Silva Lusitana. 14(1): 85-100.</v>
      </c>
      <c r="D146" s="81" t="s">
        <v>1488</v>
      </c>
      <c r="E146" s="81">
        <v>2006</v>
      </c>
      <c r="F146" s="79" t="s">
        <v>1545</v>
      </c>
      <c r="G146" s="79" t="s">
        <v>598</v>
      </c>
      <c r="H146" s="81" t="s">
        <v>599</v>
      </c>
      <c r="I146" s="81" t="s">
        <v>600</v>
      </c>
      <c r="J146" s="79"/>
      <c r="K146" s="82" t="s">
        <v>601</v>
      </c>
      <c r="L146" s="82" t="s">
        <v>101</v>
      </c>
      <c r="M146" s="65" t="s">
        <v>73</v>
      </c>
      <c r="N146" s="63" t="s">
        <v>389</v>
      </c>
      <c r="P146" s="84" t="s">
        <v>603</v>
      </c>
      <c r="Q146" s="82" t="s">
        <v>604</v>
      </c>
      <c r="R146" s="82" t="s">
        <v>604</v>
      </c>
      <c r="S146" s="79"/>
      <c r="T146" s="79" t="s">
        <v>1408</v>
      </c>
      <c r="U146" s="81">
        <v>8.0799999999999805</v>
      </c>
      <c r="V146" s="84">
        <v>41.88</v>
      </c>
      <c r="W146" s="81">
        <v>-8.0799999999999805</v>
      </c>
      <c r="X146" s="81">
        <v>550</v>
      </c>
      <c r="Y146" s="66" t="s">
        <v>1894</v>
      </c>
      <c r="Z146" s="66" t="s">
        <v>2201</v>
      </c>
      <c r="AA146" s="97" t="s">
        <v>49</v>
      </c>
      <c r="AB146" s="79" t="s">
        <v>64</v>
      </c>
      <c r="AC146" s="79" t="s">
        <v>235</v>
      </c>
      <c r="AF146" s="82" t="s">
        <v>64</v>
      </c>
      <c r="AG146" s="82" t="s">
        <v>92</v>
      </c>
      <c r="AH146" s="82" t="s">
        <v>106</v>
      </c>
      <c r="AI146" s="82" t="s">
        <v>276</v>
      </c>
      <c r="AJ146" s="86">
        <v>1</v>
      </c>
      <c r="AK146" s="86">
        <v>1</v>
      </c>
      <c r="AL146" s="86">
        <v>1</v>
      </c>
      <c r="AM146" s="84" t="s">
        <v>225</v>
      </c>
      <c r="AN146" s="84" t="s">
        <v>605</v>
      </c>
      <c r="AO146" s="84" t="s">
        <v>1588</v>
      </c>
      <c r="AP146" s="68" t="s">
        <v>2228</v>
      </c>
      <c r="AQ146" s="82" t="s">
        <v>94</v>
      </c>
      <c r="AR146" s="86">
        <v>1</v>
      </c>
      <c r="AS146" s="119">
        <v>50</v>
      </c>
      <c r="AT146" s="86"/>
      <c r="AU146" s="90"/>
      <c r="AV146" s="88">
        <v>1</v>
      </c>
      <c r="AW146" s="82" t="s">
        <v>606</v>
      </c>
      <c r="AX146" s="84" t="s">
        <v>80</v>
      </c>
      <c r="AY146" s="86">
        <v>1</v>
      </c>
      <c r="AZ146" s="86">
        <v>1</v>
      </c>
      <c r="BA146" s="86">
        <v>50</v>
      </c>
      <c r="BB146" s="86"/>
      <c r="BC146" s="82" t="s">
        <v>612</v>
      </c>
      <c r="BD146" s="93" t="s">
        <v>122</v>
      </c>
      <c r="BE146" s="84" t="s">
        <v>157</v>
      </c>
      <c r="BF146" s="137" t="s">
        <v>1751</v>
      </c>
      <c r="BG146" s="84" t="s">
        <v>21</v>
      </c>
      <c r="BH146" s="84" t="s">
        <v>81</v>
      </c>
      <c r="BI146" s="84" t="s">
        <v>225</v>
      </c>
      <c r="BJ146" s="89">
        <f>3.5/12</f>
        <v>0.29166666666666669</v>
      </c>
      <c r="BK146" s="111" t="s">
        <v>613</v>
      </c>
      <c r="BL146" s="111" t="s">
        <v>613</v>
      </c>
      <c r="BM146" s="88">
        <v>0.31666666666666665</v>
      </c>
      <c r="BN146" s="82" t="s">
        <v>389</v>
      </c>
      <c r="BO146" s="82" t="s">
        <v>609</v>
      </c>
      <c r="BP146" s="84" t="s">
        <v>64</v>
      </c>
      <c r="BQ146" s="63" t="s">
        <v>579</v>
      </c>
      <c r="BR146" s="82" t="s">
        <v>2124</v>
      </c>
      <c r="BS146" s="82" t="s">
        <v>2167</v>
      </c>
      <c r="BT146" s="84" t="s">
        <v>72</v>
      </c>
      <c r="BU146" s="86">
        <v>1.52</v>
      </c>
      <c r="BV146" s="86">
        <v>0.17</v>
      </c>
      <c r="BW146" s="90">
        <v>1.2020815280171309</v>
      </c>
      <c r="BX146" s="86">
        <v>50</v>
      </c>
      <c r="BY146" s="86">
        <v>2</v>
      </c>
      <c r="BZ146" s="82" t="s">
        <v>610</v>
      </c>
      <c r="CA146" s="82" t="s">
        <v>1369</v>
      </c>
      <c r="CB146" s="82" t="s">
        <v>614</v>
      </c>
      <c r="CC146" s="100">
        <v>1.72</v>
      </c>
      <c r="CD146" s="100">
        <v>0.18</v>
      </c>
      <c r="CE146" s="90">
        <v>1.2727922061357855</v>
      </c>
      <c r="CF146" s="86">
        <v>50</v>
      </c>
      <c r="CG146" s="86">
        <v>2</v>
      </c>
      <c r="CH146" s="82" t="s">
        <v>610</v>
      </c>
      <c r="CI146" s="82" t="s">
        <v>1369</v>
      </c>
      <c r="CK146" s="86"/>
      <c r="CL146" s="86"/>
      <c r="CM146" s="86"/>
      <c r="CN146" s="86"/>
      <c r="CO146" s="86"/>
      <c r="CS146" s="86"/>
      <c r="CT146" s="86"/>
      <c r="CU146" s="86"/>
      <c r="CV146" s="86"/>
      <c r="CW146" s="86"/>
      <c r="DY146" s="86"/>
      <c r="DZ146" s="86"/>
      <c r="EA146" s="86"/>
      <c r="EB146" s="86"/>
      <c r="EC146" s="86"/>
      <c r="EG146" s="86"/>
      <c r="EH146" s="86"/>
      <c r="EI146" s="86"/>
      <c r="EJ146" s="86"/>
      <c r="EK146" s="86"/>
      <c r="EN146" s="86">
        <f t="shared" si="155"/>
        <v>1.52</v>
      </c>
      <c r="EO146" s="90">
        <f t="shared" si="156"/>
        <v>1.2020815280171309</v>
      </c>
      <c r="EP146" s="86">
        <f t="shared" si="156"/>
        <v>50</v>
      </c>
      <c r="EQ146" s="86">
        <f t="shared" si="156"/>
        <v>2</v>
      </c>
      <c r="ER146" s="86">
        <f t="shared" si="157"/>
        <v>1.72</v>
      </c>
      <c r="ES146" s="90">
        <f t="shared" si="158"/>
        <v>1.2727922061357855</v>
      </c>
      <c r="ET146" s="86">
        <f t="shared" si="158"/>
        <v>50</v>
      </c>
      <c r="EU146" s="86">
        <f t="shared" si="158"/>
        <v>2</v>
      </c>
      <c r="EV146" s="86">
        <f t="shared" si="127"/>
        <v>1.2379418403139948</v>
      </c>
      <c r="EW146" s="86">
        <f t="shared" si="128"/>
        <v>-0.16155847834440384</v>
      </c>
      <c r="EX146" s="86">
        <f t="shared" si="129"/>
        <v>1.0001305057096248</v>
      </c>
      <c r="EY146" s="86">
        <f t="shared" si="130"/>
        <v>0.99232736572890023</v>
      </c>
      <c r="EZ146" s="83">
        <f t="shared" si="131"/>
        <v>-0.16031889922667183</v>
      </c>
      <c r="FA146" s="83">
        <f t="shared" si="132"/>
        <v>0.98484211152170487</v>
      </c>
      <c r="FB146" s="83">
        <f t="shared" si="133"/>
        <v>4</v>
      </c>
      <c r="FC146" s="84" t="s">
        <v>125</v>
      </c>
    </row>
    <row r="147" spans="1:159" s="82" customFormat="1" ht="17.100000000000001" customHeight="1">
      <c r="A147" s="78" t="s">
        <v>1846</v>
      </c>
      <c r="B147" s="96" t="s">
        <v>1585</v>
      </c>
      <c r="C147" s="80" t="str">
        <f t="shared" si="150"/>
        <v>Nuttle, T., Royo, A. A., Adams, M. B., &amp; Carson, W. P. 2013.  Historic disturbance regimes promote tree diversity only under low browsing regimes in eastern deciduous forest. Ecological Monographs. 83: 3-17.</v>
      </c>
      <c r="D147" s="91" t="s">
        <v>1513</v>
      </c>
      <c r="E147" s="91">
        <v>2013</v>
      </c>
      <c r="F147" s="96" t="s">
        <v>1068</v>
      </c>
      <c r="G147" s="96" t="s">
        <v>1069</v>
      </c>
      <c r="H147" s="91">
        <v>83</v>
      </c>
      <c r="I147" s="92" t="s">
        <v>1070</v>
      </c>
      <c r="J147" s="79"/>
      <c r="K147" s="96" t="s">
        <v>1071</v>
      </c>
      <c r="L147" s="82" t="s">
        <v>101</v>
      </c>
      <c r="M147" s="83" t="s">
        <v>73</v>
      </c>
      <c r="N147" s="82" t="s">
        <v>389</v>
      </c>
      <c r="P147" s="91" t="s">
        <v>16</v>
      </c>
      <c r="Q147" s="96" t="s">
        <v>1060</v>
      </c>
      <c r="R147" s="96" t="s">
        <v>1072</v>
      </c>
      <c r="S147" s="96"/>
      <c r="T147" s="96" t="s">
        <v>1073</v>
      </c>
      <c r="U147" s="96" t="s">
        <v>1074</v>
      </c>
      <c r="V147" s="91">
        <v>38.700000000000003</v>
      </c>
      <c r="W147" s="91">
        <v>-80.05</v>
      </c>
      <c r="X147" s="91"/>
      <c r="Y147" s="104" t="s">
        <v>1897</v>
      </c>
      <c r="Z147" s="66" t="s">
        <v>2203</v>
      </c>
      <c r="AA147" s="97" t="s">
        <v>555</v>
      </c>
      <c r="AB147" s="79" t="s">
        <v>64</v>
      </c>
      <c r="AC147" s="82" t="s">
        <v>235</v>
      </c>
      <c r="AE147" s="82" t="s">
        <v>1075</v>
      </c>
      <c r="AF147" s="82" t="s">
        <v>86</v>
      </c>
      <c r="AG147" s="82" t="s">
        <v>91</v>
      </c>
      <c r="AH147" s="82" t="s">
        <v>106</v>
      </c>
      <c r="AI147" s="82" t="s">
        <v>93</v>
      </c>
      <c r="AJ147" s="86">
        <v>4</v>
      </c>
      <c r="AK147" s="86">
        <v>1</v>
      </c>
      <c r="AL147" s="86">
        <v>1</v>
      </c>
      <c r="AM147" s="84" t="s">
        <v>1066</v>
      </c>
      <c r="AN147" s="84" t="s">
        <v>1053</v>
      </c>
      <c r="AO147" s="84" t="s">
        <v>526</v>
      </c>
      <c r="AP147" s="68" t="s">
        <v>2227</v>
      </c>
      <c r="AQ147" s="82" t="s">
        <v>94</v>
      </c>
      <c r="AR147" s="86">
        <v>1</v>
      </c>
      <c r="AS147" s="86">
        <v>1</v>
      </c>
      <c r="AT147" s="86"/>
      <c r="AU147" s="87"/>
      <c r="AV147" s="88">
        <v>0.2</v>
      </c>
      <c r="AX147" s="82" t="s">
        <v>80</v>
      </c>
      <c r="AY147" s="86">
        <v>4</v>
      </c>
      <c r="AZ147" s="86">
        <v>1</v>
      </c>
      <c r="BA147" s="86">
        <v>1</v>
      </c>
      <c r="BB147" s="86"/>
      <c r="BD147" s="83" t="s">
        <v>124</v>
      </c>
      <c r="BE147" s="82" t="s">
        <v>182</v>
      </c>
      <c r="BF147" s="83" t="s">
        <v>387</v>
      </c>
      <c r="BG147" s="82" t="s">
        <v>21</v>
      </c>
      <c r="BH147" s="82" t="s">
        <v>22</v>
      </c>
      <c r="BI147" s="84" t="s">
        <v>1066</v>
      </c>
      <c r="BJ147" s="89">
        <f>BK147/12</f>
        <v>5</v>
      </c>
      <c r="BK147" s="84">
        <v>60</v>
      </c>
      <c r="BL147" s="84">
        <v>60</v>
      </c>
      <c r="BM147" s="88">
        <v>5</v>
      </c>
      <c r="BN147" s="82" t="s">
        <v>379</v>
      </c>
      <c r="BO147" s="82" t="s">
        <v>856</v>
      </c>
      <c r="BP147" s="82" t="s">
        <v>64</v>
      </c>
      <c r="BR147" s="82" t="s">
        <v>1781</v>
      </c>
      <c r="BS147" s="82" t="s">
        <v>2221</v>
      </c>
      <c r="BT147" s="82" t="s">
        <v>572</v>
      </c>
      <c r="BU147" s="90">
        <v>18.25</v>
      </c>
      <c r="BV147" s="69"/>
      <c r="BW147" s="69">
        <v>5.123475382979799</v>
      </c>
      <c r="BX147" s="119">
        <v>4</v>
      </c>
      <c r="BY147" s="119">
        <v>4</v>
      </c>
      <c r="BZ147" s="96" t="s">
        <v>1772</v>
      </c>
      <c r="CA147" s="96" t="s">
        <v>1274</v>
      </c>
      <c r="CB147" s="82" t="s">
        <v>80</v>
      </c>
      <c r="CC147" s="69">
        <v>13.75</v>
      </c>
      <c r="CD147" s="69"/>
      <c r="CE147" s="69">
        <v>1.3844373104863457</v>
      </c>
      <c r="CF147" s="86">
        <v>4</v>
      </c>
      <c r="CG147" s="86">
        <v>4</v>
      </c>
      <c r="CH147" s="96" t="s">
        <v>1772</v>
      </c>
      <c r="CI147" s="82" t="s">
        <v>1274</v>
      </c>
      <c r="CK147" s="86"/>
      <c r="CL147" s="86"/>
      <c r="CM147" s="86"/>
      <c r="CN147" s="86"/>
      <c r="CO147" s="86"/>
      <c r="CS147" s="86"/>
      <c r="CT147" s="86"/>
      <c r="CU147" s="86"/>
      <c r="CV147" s="86"/>
      <c r="CW147" s="86"/>
      <c r="DY147" s="86"/>
      <c r="DZ147" s="86"/>
      <c r="EA147" s="86"/>
      <c r="EB147" s="86"/>
      <c r="EC147" s="86"/>
      <c r="EG147" s="86"/>
      <c r="EH147" s="86"/>
      <c r="EI147" s="86"/>
      <c r="EJ147" s="86"/>
      <c r="EK147" s="86"/>
      <c r="EN147" s="86">
        <f t="shared" si="155"/>
        <v>18.25</v>
      </c>
      <c r="EO147" s="90">
        <f t="shared" si="156"/>
        <v>5.123475382979799</v>
      </c>
      <c r="EP147" s="86">
        <f t="shared" si="156"/>
        <v>4</v>
      </c>
      <c r="EQ147" s="86">
        <f t="shared" si="156"/>
        <v>4</v>
      </c>
      <c r="ER147" s="86">
        <f t="shared" si="157"/>
        <v>13.75</v>
      </c>
      <c r="ES147" s="90">
        <f t="shared" si="158"/>
        <v>1.3844373104863457</v>
      </c>
      <c r="ET147" s="86">
        <f t="shared" si="158"/>
        <v>4</v>
      </c>
      <c r="EU147" s="86">
        <f t="shared" si="158"/>
        <v>4</v>
      </c>
      <c r="EV147" s="86">
        <f t="shared" si="127"/>
        <v>3.752776749732567</v>
      </c>
      <c r="EW147" s="86">
        <f t="shared" si="128"/>
        <v>1.1991120975476843</v>
      </c>
      <c r="EX147" s="86">
        <f t="shared" si="129"/>
        <v>0.5898668639053255</v>
      </c>
      <c r="EY147" s="86">
        <f t="shared" si="130"/>
        <v>0.86956521739130432</v>
      </c>
      <c r="EZ147" s="83">
        <f t="shared" si="131"/>
        <v>1.042706171780595</v>
      </c>
      <c r="FA147" s="83">
        <f t="shared" si="132"/>
        <v>0.44602409369022722</v>
      </c>
      <c r="FB147" s="83">
        <f t="shared" si="133"/>
        <v>8</v>
      </c>
      <c r="FC147" s="82" t="s">
        <v>385</v>
      </c>
    </row>
    <row r="148" spans="1:159" s="82" customFormat="1" ht="17.100000000000001" customHeight="1">
      <c r="A148" s="78" t="s">
        <v>1846</v>
      </c>
      <c r="B148" s="96" t="s">
        <v>1585</v>
      </c>
      <c r="C148" s="80" t="str">
        <f t="shared" si="150"/>
        <v>Nuttle, T., Royo, A. A., Adams, M. B., &amp; Carson, W. P. 2013.  Historic disturbance regimes promote tree diversity only under low browsing regimes in eastern deciduous forest. Ecological Monographs. 83: 3-17.</v>
      </c>
      <c r="D148" s="91" t="s">
        <v>1513</v>
      </c>
      <c r="E148" s="91">
        <v>2013</v>
      </c>
      <c r="F148" s="96" t="s">
        <v>1068</v>
      </c>
      <c r="G148" s="96" t="s">
        <v>1069</v>
      </c>
      <c r="H148" s="91">
        <v>83</v>
      </c>
      <c r="I148" s="92" t="s">
        <v>1070</v>
      </c>
      <c r="J148" s="79"/>
      <c r="K148" s="96" t="s">
        <v>1071</v>
      </c>
      <c r="L148" s="82" t="s">
        <v>101</v>
      </c>
      <c r="M148" s="83" t="s">
        <v>73</v>
      </c>
      <c r="N148" s="82" t="s">
        <v>389</v>
      </c>
      <c r="P148" s="91" t="s">
        <v>16</v>
      </c>
      <c r="Q148" s="96" t="s">
        <v>1060</v>
      </c>
      <c r="R148" s="96" t="s">
        <v>1072</v>
      </c>
      <c r="S148" s="96"/>
      <c r="T148" s="96" t="s">
        <v>1073</v>
      </c>
      <c r="U148" s="146" t="s">
        <v>1074</v>
      </c>
      <c r="V148" s="91">
        <v>38.700000000000003</v>
      </c>
      <c r="W148" s="91">
        <v>-80.05</v>
      </c>
      <c r="X148" s="91"/>
      <c r="Y148" s="104" t="s">
        <v>1897</v>
      </c>
      <c r="Z148" s="66" t="s">
        <v>2203</v>
      </c>
      <c r="AA148" s="97" t="s">
        <v>555</v>
      </c>
      <c r="AB148" s="79" t="s">
        <v>64</v>
      </c>
      <c r="AC148" s="82" t="s">
        <v>235</v>
      </c>
      <c r="AE148" s="82" t="s">
        <v>1075</v>
      </c>
      <c r="AF148" s="82" t="s">
        <v>86</v>
      </c>
      <c r="AG148" s="82" t="s">
        <v>91</v>
      </c>
      <c r="AH148" s="82" t="s">
        <v>106</v>
      </c>
      <c r="AI148" s="82" t="s">
        <v>93</v>
      </c>
      <c r="AJ148" s="86">
        <v>4</v>
      </c>
      <c r="AK148" s="86">
        <v>1</v>
      </c>
      <c r="AL148" s="86">
        <v>1</v>
      </c>
      <c r="AM148" s="84" t="s">
        <v>1066</v>
      </c>
      <c r="AN148" s="84" t="s">
        <v>1053</v>
      </c>
      <c r="AO148" s="84" t="s">
        <v>526</v>
      </c>
      <c r="AP148" s="68" t="s">
        <v>2227</v>
      </c>
      <c r="AQ148" s="82" t="s">
        <v>94</v>
      </c>
      <c r="AR148" s="86">
        <v>1</v>
      </c>
      <c r="AS148" s="86">
        <v>1</v>
      </c>
      <c r="AT148" s="86"/>
      <c r="AU148" s="87"/>
      <c r="AV148" s="88">
        <v>0.2</v>
      </c>
      <c r="AX148" s="82" t="s">
        <v>80</v>
      </c>
      <c r="AY148" s="86">
        <v>4</v>
      </c>
      <c r="AZ148" s="86">
        <v>1</v>
      </c>
      <c r="BA148" s="86">
        <v>1</v>
      </c>
      <c r="BB148" s="86"/>
      <c r="BD148" s="83" t="s">
        <v>122</v>
      </c>
      <c r="BE148" s="82" t="s">
        <v>1603</v>
      </c>
      <c r="BF148" s="83" t="s">
        <v>387</v>
      </c>
      <c r="BG148" s="82" t="s">
        <v>21</v>
      </c>
      <c r="BH148" s="82" t="s">
        <v>22</v>
      </c>
      <c r="BI148" s="84" t="s">
        <v>1066</v>
      </c>
      <c r="BJ148" s="89">
        <f>BK148/12</f>
        <v>5</v>
      </c>
      <c r="BK148" s="84">
        <v>60</v>
      </c>
      <c r="BL148" s="84">
        <v>60</v>
      </c>
      <c r="BM148" s="88">
        <v>5</v>
      </c>
      <c r="BN148" s="82" t="s">
        <v>379</v>
      </c>
      <c r="BO148" s="82" t="s">
        <v>856</v>
      </c>
      <c r="BP148" s="82" t="s">
        <v>64</v>
      </c>
      <c r="BQ148" s="82" t="s">
        <v>579</v>
      </c>
      <c r="BR148" s="82" t="s">
        <v>1781</v>
      </c>
      <c r="BS148" s="82" t="s">
        <v>2221</v>
      </c>
      <c r="BT148" s="82" t="s">
        <v>572</v>
      </c>
      <c r="BU148" s="69">
        <v>0.56373495224666947</v>
      </c>
      <c r="BV148" s="69"/>
      <c r="BW148" s="69">
        <v>0.19600000000000001</v>
      </c>
      <c r="BX148" s="119">
        <v>4</v>
      </c>
      <c r="BY148" s="119">
        <v>4</v>
      </c>
      <c r="BZ148" s="96" t="s">
        <v>1772</v>
      </c>
      <c r="CA148" s="96" t="s">
        <v>1274</v>
      </c>
      <c r="CB148" s="82" t="s">
        <v>80</v>
      </c>
      <c r="CC148" s="69">
        <v>0.59966720398027895</v>
      </c>
      <c r="CD148" s="69"/>
      <c r="CE148" s="69">
        <v>0.14399999999999999</v>
      </c>
      <c r="CF148" s="86">
        <v>4</v>
      </c>
      <c r="CG148" s="86">
        <v>4</v>
      </c>
      <c r="CH148" s="96" t="s">
        <v>1772</v>
      </c>
      <c r="CI148" s="82" t="s">
        <v>1274</v>
      </c>
      <c r="CK148" s="67"/>
      <c r="CL148" s="67"/>
      <c r="CM148" s="67"/>
      <c r="CN148" s="67"/>
      <c r="CO148" s="67"/>
      <c r="CP148" s="63"/>
      <c r="CQ148" s="63"/>
      <c r="CR148" s="63"/>
      <c r="CS148" s="67"/>
      <c r="CT148" s="67"/>
      <c r="CU148" s="67"/>
      <c r="CV148" s="67"/>
      <c r="CW148" s="67"/>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7"/>
      <c r="DZ148" s="67"/>
      <c r="EA148" s="67"/>
      <c r="EB148" s="67"/>
      <c r="EC148" s="67"/>
      <c r="ED148" s="63"/>
      <c r="EE148" s="63"/>
      <c r="EF148" s="63"/>
      <c r="EG148" s="67"/>
      <c r="EH148" s="67"/>
      <c r="EI148" s="67"/>
      <c r="EJ148" s="67"/>
      <c r="EK148" s="67"/>
      <c r="EL148" s="63"/>
      <c r="EM148" s="63"/>
      <c r="EN148" s="86">
        <f t="shared" si="155"/>
        <v>0.56373495224666947</v>
      </c>
      <c r="EO148" s="90">
        <f t="shared" si="156"/>
        <v>0.19600000000000001</v>
      </c>
      <c r="EP148" s="86">
        <f t="shared" si="156"/>
        <v>4</v>
      </c>
      <c r="EQ148" s="86">
        <f t="shared" si="156"/>
        <v>4</v>
      </c>
      <c r="ER148" s="86">
        <f t="shared" si="157"/>
        <v>0.59966720398027895</v>
      </c>
      <c r="ES148" s="90">
        <f t="shared" si="158"/>
        <v>0.14399999999999999</v>
      </c>
      <c r="ET148" s="86">
        <f t="shared" si="158"/>
        <v>4</v>
      </c>
      <c r="EU148" s="86">
        <f t="shared" si="158"/>
        <v>4</v>
      </c>
      <c r="EV148" s="86">
        <f t="shared" ref="EV148:EV179" si="159">SQRT((((EP148-1)*EO148^2)+((ET148-1)*ES148^2))/((EP148+ET148)-2))</f>
        <v>0.17197674261364529</v>
      </c>
      <c r="EW148" s="86">
        <f t="shared" ref="EW148:EW179" si="160">(EN148-ER148)/EV148</f>
        <v>-0.2089366921801348</v>
      </c>
      <c r="EX148" s="86">
        <f t="shared" ref="EX148:EX179" si="161">((EQ148+EU148)/(EQ148*EU148))+((EW148^2)/(2*(EP148+ET148)))</f>
        <v>0.50272840883369851</v>
      </c>
      <c r="EY148" s="86">
        <f t="shared" ref="EY148:EY179" si="162">1-(3/((4*(EP148+ET148-2))-1))</f>
        <v>0.86956521739130432</v>
      </c>
      <c r="EZ148" s="83">
        <f>EY148*EW148+FB149</f>
        <v>5.8183159198433607</v>
      </c>
      <c r="FA148" s="83">
        <f t="shared" ref="FA148:FA179" si="163">(EY148^2)*EX148</f>
        <v>0.38013490270979094</v>
      </c>
      <c r="FB148" s="83">
        <f t="shared" ref="FB148:FB179" si="164">EQ148+EU148</f>
        <v>8</v>
      </c>
      <c r="FC148" s="82" t="s">
        <v>385</v>
      </c>
    </row>
    <row r="149" spans="1:159" s="82" customFormat="1" ht="17.100000000000001" customHeight="1">
      <c r="A149" s="78" t="s">
        <v>1810</v>
      </c>
      <c r="B149" s="81" t="s">
        <v>1944</v>
      </c>
      <c r="C149" s="80" t="str">
        <f t="shared" si="150"/>
        <v>Nuzzo, V. A., McClain, W., &amp; Strole, T. 1996.  Fire impact on groundlayer flora in a sand forest 1990-1994. American Midland Naturalist. 136 (2): 207-221.</v>
      </c>
      <c r="D149" s="81" t="s">
        <v>1480</v>
      </c>
      <c r="E149" s="81">
        <v>1996</v>
      </c>
      <c r="F149" s="81" t="s">
        <v>1533</v>
      </c>
      <c r="G149" s="81" t="s">
        <v>348</v>
      </c>
      <c r="H149" s="81" t="s">
        <v>694</v>
      </c>
      <c r="I149" s="81" t="s">
        <v>695</v>
      </c>
      <c r="J149" s="81"/>
      <c r="K149" s="84" t="s">
        <v>696</v>
      </c>
      <c r="L149" s="84" t="s">
        <v>18</v>
      </c>
      <c r="M149" s="83" t="s">
        <v>73</v>
      </c>
      <c r="N149" s="84" t="s">
        <v>389</v>
      </c>
      <c r="O149" s="84"/>
      <c r="P149" s="81" t="s">
        <v>16</v>
      </c>
      <c r="Q149" s="84" t="s">
        <v>334</v>
      </c>
      <c r="R149" s="84" t="s">
        <v>697</v>
      </c>
      <c r="S149" s="81"/>
      <c r="T149" s="81" t="s">
        <v>698</v>
      </c>
      <c r="U149" s="183" t="s">
        <v>699</v>
      </c>
      <c r="V149" s="81">
        <v>40.4</v>
      </c>
      <c r="W149" s="81">
        <v>-89.88</v>
      </c>
      <c r="X149" s="81"/>
      <c r="Y149" s="66" t="s">
        <v>1896</v>
      </c>
      <c r="Z149" s="66" t="s">
        <v>2203</v>
      </c>
      <c r="AA149" s="65" t="s">
        <v>555</v>
      </c>
      <c r="AB149" s="84" t="s">
        <v>238</v>
      </c>
      <c r="AC149" s="81" t="s">
        <v>136</v>
      </c>
      <c r="AD149" s="84"/>
      <c r="AE149" s="84"/>
      <c r="AF149" s="84" t="s">
        <v>64</v>
      </c>
      <c r="AG149" s="84" t="s">
        <v>92</v>
      </c>
      <c r="AH149" s="84" t="s">
        <v>106</v>
      </c>
      <c r="AI149" s="84" t="s">
        <v>276</v>
      </c>
      <c r="AJ149" s="86">
        <v>1</v>
      </c>
      <c r="AK149" s="86">
        <v>1</v>
      </c>
      <c r="AL149" s="86">
        <v>1</v>
      </c>
      <c r="AM149" s="84" t="s">
        <v>225</v>
      </c>
      <c r="AN149" s="84" t="s">
        <v>700</v>
      </c>
      <c r="AO149" s="84" t="s">
        <v>2107</v>
      </c>
      <c r="AP149" s="68" t="s">
        <v>2229</v>
      </c>
      <c r="AQ149" s="84" t="s">
        <v>95</v>
      </c>
      <c r="AR149" s="86">
        <v>3</v>
      </c>
      <c r="AS149" s="86" t="s">
        <v>1349</v>
      </c>
      <c r="AT149" s="86"/>
      <c r="AU149" s="90" t="s">
        <v>85</v>
      </c>
      <c r="AV149" s="88">
        <v>1</v>
      </c>
      <c r="AW149" s="84" t="s">
        <v>1624</v>
      </c>
      <c r="AX149" s="91" t="s">
        <v>80</v>
      </c>
      <c r="AY149" s="86">
        <v>1</v>
      </c>
      <c r="AZ149" s="86">
        <v>3</v>
      </c>
      <c r="BA149" s="86" t="s">
        <v>1349</v>
      </c>
      <c r="BB149" s="86"/>
      <c r="BC149" s="84" t="s">
        <v>701</v>
      </c>
      <c r="BD149" s="93" t="s">
        <v>124</v>
      </c>
      <c r="BE149" s="84" t="s">
        <v>182</v>
      </c>
      <c r="BF149" s="93" t="s">
        <v>110</v>
      </c>
      <c r="BG149" s="84" t="s">
        <v>21</v>
      </c>
      <c r="BH149" s="84" t="s">
        <v>81</v>
      </c>
      <c r="BI149" s="84" t="s">
        <v>365</v>
      </c>
      <c r="BJ149" s="89">
        <f>9/12</f>
        <v>0.75</v>
      </c>
      <c r="BK149" s="84" t="s">
        <v>702</v>
      </c>
      <c r="BL149" s="84" t="s">
        <v>702</v>
      </c>
      <c r="BM149" s="88">
        <v>0.75</v>
      </c>
      <c r="BN149" s="84" t="s">
        <v>379</v>
      </c>
      <c r="BO149" s="84" t="s">
        <v>703</v>
      </c>
      <c r="BP149" s="84" t="s">
        <v>64</v>
      </c>
      <c r="BQ149" s="84"/>
      <c r="BR149" s="81" t="s">
        <v>704</v>
      </c>
      <c r="BS149" s="81" t="s">
        <v>2139</v>
      </c>
      <c r="BT149" s="84"/>
      <c r="BU149" s="86"/>
      <c r="BV149" s="86"/>
      <c r="BW149" s="90"/>
      <c r="BX149" s="86"/>
      <c r="BY149" s="86"/>
      <c r="BZ149" s="84"/>
      <c r="CA149" s="84"/>
      <c r="CB149" s="84"/>
      <c r="CC149" s="86"/>
      <c r="CD149" s="86"/>
      <c r="CE149" s="69"/>
      <c r="CF149" s="86"/>
      <c r="CG149" s="86"/>
      <c r="CH149" s="84"/>
      <c r="CI149" s="84"/>
      <c r="CJ149" s="84"/>
      <c r="CK149" s="86"/>
      <c r="CL149" s="86"/>
      <c r="CM149" s="86"/>
      <c r="CN149" s="86"/>
      <c r="CO149" s="86"/>
      <c r="CP149" s="84"/>
      <c r="CQ149" s="84"/>
      <c r="CR149" s="84" t="s">
        <v>572</v>
      </c>
      <c r="CS149" s="86">
        <v>6</v>
      </c>
      <c r="CT149" s="86">
        <v>0.3</v>
      </c>
      <c r="CU149" s="86">
        <v>6.9282032302755088</v>
      </c>
      <c r="CV149" s="86">
        <v>3</v>
      </c>
      <c r="CW149" s="86">
        <v>3</v>
      </c>
      <c r="CX149" s="84" t="s">
        <v>216</v>
      </c>
      <c r="CY149" s="91" t="s">
        <v>1619</v>
      </c>
      <c r="CZ149" s="84" t="s">
        <v>80</v>
      </c>
      <c r="DA149" s="82">
        <v>6.8</v>
      </c>
      <c r="DB149" s="82">
        <v>0.4</v>
      </c>
      <c r="DC149" s="82">
        <v>9.2376043070340135</v>
      </c>
      <c r="DD149" s="82">
        <v>3</v>
      </c>
      <c r="DE149" s="82">
        <v>3</v>
      </c>
      <c r="DF149" s="84" t="s">
        <v>216</v>
      </c>
      <c r="DG149" s="91" t="s">
        <v>1619</v>
      </c>
      <c r="DH149" s="84" t="s">
        <v>572</v>
      </c>
      <c r="DI149" s="82">
        <v>9.8000000000000007</v>
      </c>
      <c r="DJ149" s="82">
        <v>0.4</v>
      </c>
      <c r="DK149" s="82">
        <v>9.2376043070340135</v>
      </c>
      <c r="DL149" s="82">
        <v>3</v>
      </c>
      <c r="DM149" s="82">
        <v>3</v>
      </c>
      <c r="DN149" s="82" t="s">
        <v>216</v>
      </c>
      <c r="DO149" s="91" t="s">
        <v>1619</v>
      </c>
      <c r="DP149" s="84" t="s">
        <v>80</v>
      </c>
      <c r="DQ149" s="82">
        <v>7.4</v>
      </c>
      <c r="DR149" s="82">
        <v>0.4</v>
      </c>
      <c r="DS149" s="82">
        <v>9.2376043070340135</v>
      </c>
      <c r="DT149" s="82">
        <v>3</v>
      </c>
      <c r="DU149" s="82">
        <v>3</v>
      </c>
      <c r="DV149" s="84" t="s">
        <v>216</v>
      </c>
      <c r="DW149" s="91" t="s">
        <v>1619</v>
      </c>
      <c r="DX149" s="84" t="s">
        <v>1747</v>
      </c>
      <c r="DY149" s="86">
        <f t="shared" ref="DY149:DY154" si="165">DI149-CS149</f>
        <v>3.8000000000000007</v>
      </c>
      <c r="DZ149" s="86"/>
      <c r="EA149" s="86">
        <f t="shared" ref="EA149:EA154" si="166">SQRT((CU149^2)+(DK149^2))</f>
        <v>11.547005383792516</v>
      </c>
      <c r="EB149" s="86">
        <v>3</v>
      </c>
      <c r="EC149" s="86">
        <v>3</v>
      </c>
      <c r="ED149" s="84" t="s">
        <v>1743</v>
      </c>
      <c r="EE149" s="84" t="s">
        <v>1744</v>
      </c>
      <c r="EF149" s="84" t="s">
        <v>1746</v>
      </c>
      <c r="EG149" s="86">
        <f t="shared" ref="EG149:EG154" si="167">DQ149-DA149</f>
        <v>0.60000000000000053</v>
      </c>
      <c r="EH149" s="86"/>
      <c r="EI149" s="86">
        <f t="shared" ref="EI149:EI154" si="168">SQRT((DS149^2)+(DC149^2))</f>
        <v>13.063945294843618</v>
      </c>
      <c r="EJ149" s="86">
        <v>3</v>
      </c>
      <c r="EK149" s="86">
        <v>3</v>
      </c>
      <c r="EL149" s="84" t="s">
        <v>1743</v>
      </c>
      <c r="EM149" s="84" t="s">
        <v>1745</v>
      </c>
      <c r="EN149" s="86">
        <f t="shared" ref="EN149:EN154" si="169">DY149</f>
        <v>3.8000000000000007</v>
      </c>
      <c r="EO149" s="86">
        <f t="shared" ref="EO149:EQ154" si="170">EA149</f>
        <v>11.547005383792516</v>
      </c>
      <c r="EP149" s="86">
        <f t="shared" si="170"/>
        <v>3</v>
      </c>
      <c r="EQ149" s="86">
        <f t="shared" si="170"/>
        <v>3</v>
      </c>
      <c r="ER149" s="86">
        <f t="shared" ref="ER149:ER154" si="171">EG149</f>
        <v>0.60000000000000053</v>
      </c>
      <c r="ES149" s="86">
        <f t="shared" ref="ES149:EU154" si="172">EI149</f>
        <v>13.063945294843618</v>
      </c>
      <c r="ET149" s="86">
        <f t="shared" si="172"/>
        <v>3</v>
      </c>
      <c r="EU149" s="86">
        <f t="shared" si="172"/>
        <v>3</v>
      </c>
      <c r="EV149" s="86">
        <f t="shared" si="159"/>
        <v>12.328828005937956</v>
      </c>
      <c r="EW149" s="86">
        <f t="shared" si="160"/>
        <v>0.25955427380922003</v>
      </c>
      <c r="EX149" s="86">
        <f t="shared" si="161"/>
        <v>0.67228070175438592</v>
      </c>
      <c r="EY149" s="86">
        <f t="shared" si="162"/>
        <v>0.8</v>
      </c>
      <c r="EZ149" s="83">
        <f t="shared" ref="EZ149:EZ179" si="173">EY149*EW149</f>
        <v>0.20764341904737604</v>
      </c>
      <c r="FA149" s="83">
        <f t="shared" si="163"/>
        <v>0.43025964912280706</v>
      </c>
      <c r="FB149" s="83">
        <f t="shared" si="164"/>
        <v>6</v>
      </c>
      <c r="FC149" s="84" t="s">
        <v>125</v>
      </c>
    </row>
    <row r="150" spans="1:159" s="82" customFormat="1" ht="17.100000000000001" customHeight="1">
      <c r="A150" s="78" t="s">
        <v>1810</v>
      </c>
      <c r="B150" s="81" t="s">
        <v>1945</v>
      </c>
      <c r="C150" s="80" t="str">
        <f t="shared" si="150"/>
        <v>Nuzzo, V. A., McClain, W., &amp; Strole, T. 1996.  Fire impact on groundlayer flora in a sand forest 1990-1995. American Midland Naturalist. 136 (2): 207-221.</v>
      </c>
      <c r="D150" s="81" t="s">
        <v>1480</v>
      </c>
      <c r="E150" s="81">
        <v>1996</v>
      </c>
      <c r="F150" s="81" t="s">
        <v>1534</v>
      </c>
      <c r="G150" s="81" t="s">
        <v>348</v>
      </c>
      <c r="H150" s="81" t="s">
        <v>694</v>
      </c>
      <c r="I150" s="81" t="s">
        <v>695</v>
      </c>
      <c r="J150" s="81"/>
      <c r="K150" s="84" t="s">
        <v>696</v>
      </c>
      <c r="L150" s="84" t="s">
        <v>18</v>
      </c>
      <c r="M150" s="83" t="s">
        <v>73</v>
      </c>
      <c r="N150" s="84" t="s">
        <v>389</v>
      </c>
      <c r="O150" s="84"/>
      <c r="P150" s="81" t="s">
        <v>16</v>
      </c>
      <c r="Q150" s="84" t="s">
        <v>334</v>
      </c>
      <c r="R150" s="84" t="s">
        <v>697</v>
      </c>
      <c r="S150" s="81"/>
      <c r="T150" s="81" t="s">
        <v>698</v>
      </c>
      <c r="U150" s="81" t="s">
        <v>699</v>
      </c>
      <c r="V150" s="81">
        <v>40.4</v>
      </c>
      <c r="W150" s="81">
        <v>-89.88</v>
      </c>
      <c r="X150" s="81"/>
      <c r="Y150" s="66" t="s">
        <v>1896</v>
      </c>
      <c r="Z150" s="66" t="s">
        <v>2203</v>
      </c>
      <c r="AA150" s="65" t="s">
        <v>555</v>
      </c>
      <c r="AB150" s="84" t="s">
        <v>238</v>
      </c>
      <c r="AC150" s="81" t="s">
        <v>136</v>
      </c>
      <c r="AD150" s="84"/>
      <c r="AE150" s="84"/>
      <c r="AF150" s="84" t="s">
        <v>64</v>
      </c>
      <c r="AG150" s="84" t="s">
        <v>92</v>
      </c>
      <c r="AH150" s="84" t="s">
        <v>106</v>
      </c>
      <c r="AI150" s="84" t="s">
        <v>276</v>
      </c>
      <c r="AJ150" s="86">
        <v>1</v>
      </c>
      <c r="AK150" s="86">
        <v>2</v>
      </c>
      <c r="AL150" s="86">
        <v>2</v>
      </c>
      <c r="AM150" s="84" t="s">
        <v>225</v>
      </c>
      <c r="AN150" s="84" t="s">
        <v>700</v>
      </c>
      <c r="AO150" s="84" t="s">
        <v>2107</v>
      </c>
      <c r="AP150" s="68" t="s">
        <v>2229</v>
      </c>
      <c r="AQ150" s="84" t="s">
        <v>95</v>
      </c>
      <c r="AR150" s="86">
        <v>3</v>
      </c>
      <c r="AS150" s="86" t="s">
        <v>1349</v>
      </c>
      <c r="AT150" s="86"/>
      <c r="AU150" s="90" t="s">
        <v>227</v>
      </c>
      <c r="AV150" s="88">
        <v>1.1428571428571428</v>
      </c>
      <c r="AW150" s="84" t="s">
        <v>1624</v>
      </c>
      <c r="AX150" s="91" t="s">
        <v>80</v>
      </c>
      <c r="AY150" s="86">
        <v>1</v>
      </c>
      <c r="AZ150" s="86">
        <v>3</v>
      </c>
      <c r="BA150" s="86" t="s">
        <v>1349</v>
      </c>
      <c r="BB150" s="86"/>
      <c r="BC150" s="84" t="s">
        <v>701</v>
      </c>
      <c r="BD150" s="93" t="s">
        <v>124</v>
      </c>
      <c r="BE150" s="84" t="s">
        <v>182</v>
      </c>
      <c r="BF150" s="93" t="s">
        <v>110</v>
      </c>
      <c r="BG150" s="84" t="s">
        <v>21</v>
      </c>
      <c r="BH150" s="84" t="s">
        <v>81</v>
      </c>
      <c r="BI150" s="84" t="s">
        <v>365</v>
      </c>
      <c r="BJ150" s="89">
        <f>21/12</f>
        <v>1.75</v>
      </c>
      <c r="BK150" s="84" t="s">
        <v>705</v>
      </c>
      <c r="BL150" s="84" t="s">
        <v>706</v>
      </c>
      <c r="BM150" s="88">
        <v>0.25</v>
      </c>
      <c r="BN150" s="84" t="s">
        <v>379</v>
      </c>
      <c r="BO150" s="84" t="s">
        <v>703</v>
      </c>
      <c r="BP150" s="84" t="s">
        <v>64</v>
      </c>
      <c r="BQ150" s="84"/>
      <c r="BR150" s="81" t="s">
        <v>704</v>
      </c>
      <c r="BS150" s="81" t="s">
        <v>2139</v>
      </c>
      <c r="BT150" s="84"/>
      <c r="BU150" s="86"/>
      <c r="BV150" s="86"/>
      <c r="BW150" s="90"/>
      <c r="BX150" s="86"/>
      <c r="BY150" s="86"/>
      <c r="BZ150" s="84"/>
      <c r="CA150" s="84"/>
      <c r="CB150" s="84"/>
      <c r="CC150" s="86"/>
      <c r="CD150" s="86"/>
      <c r="CE150" s="90"/>
      <c r="CF150" s="86"/>
      <c r="CG150" s="86"/>
      <c r="CH150" s="84"/>
      <c r="CI150" s="84"/>
      <c r="CJ150" s="84"/>
      <c r="CK150" s="86"/>
      <c r="CL150" s="86"/>
      <c r="CM150" s="86"/>
      <c r="CN150" s="86"/>
      <c r="CO150" s="86"/>
      <c r="CP150" s="84"/>
      <c r="CQ150" s="84"/>
      <c r="CR150" s="84" t="s">
        <v>573</v>
      </c>
      <c r="CS150" s="86">
        <v>6</v>
      </c>
      <c r="CT150" s="86">
        <v>0.3</v>
      </c>
      <c r="CU150" s="86">
        <v>6.9282032302755088</v>
      </c>
      <c r="CV150" s="86">
        <v>3</v>
      </c>
      <c r="CW150" s="86">
        <v>3</v>
      </c>
      <c r="CX150" s="84" t="s">
        <v>216</v>
      </c>
      <c r="CY150" s="91" t="s">
        <v>1619</v>
      </c>
      <c r="CZ150" s="84" t="s">
        <v>80</v>
      </c>
      <c r="DA150" s="82">
        <v>6.8</v>
      </c>
      <c r="DB150" s="82">
        <v>0.4</v>
      </c>
      <c r="DC150" s="82">
        <v>9.2376043070340135</v>
      </c>
      <c r="DD150" s="82">
        <v>3</v>
      </c>
      <c r="DE150" s="82">
        <v>3</v>
      </c>
      <c r="DF150" s="84" t="s">
        <v>216</v>
      </c>
      <c r="DG150" s="91" t="s">
        <v>1619</v>
      </c>
      <c r="DH150" s="84" t="s">
        <v>573</v>
      </c>
      <c r="DI150" s="82">
        <v>9</v>
      </c>
      <c r="DJ150" s="82">
        <v>0.4</v>
      </c>
      <c r="DK150" s="82">
        <v>9.2376043070340135</v>
      </c>
      <c r="DL150" s="82">
        <v>3</v>
      </c>
      <c r="DM150" s="82">
        <v>3</v>
      </c>
      <c r="DN150" s="82" t="s">
        <v>216</v>
      </c>
      <c r="DO150" s="91" t="s">
        <v>1619</v>
      </c>
      <c r="DP150" s="84" t="s">
        <v>80</v>
      </c>
      <c r="DQ150" s="82">
        <v>6.3</v>
      </c>
      <c r="DR150" s="82">
        <v>0.4</v>
      </c>
      <c r="DS150" s="82">
        <v>9.2376043070340135</v>
      </c>
      <c r="DT150" s="82">
        <v>3</v>
      </c>
      <c r="DU150" s="82">
        <v>3</v>
      </c>
      <c r="DV150" s="84" t="s">
        <v>216</v>
      </c>
      <c r="DW150" s="91" t="s">
        <v>1619</v>
      </c>
      <c r="DX150" s="84" t="s">
        <v>1747</v>
      </c>
      <c r="DY150" s="86">
        <f t="shared" si="165"/>
        <v>3</v>
      </c>
      <c r="DZ150" s="86"/>
      <c r="EA150" s="86">
        <f t="shared" si="166"/>
        <v>11.547005383792516</v>
      </c>
      <c r="EB150" s="86">
        <v>3</v>
      </c>
      <c r="EC150" s="86">
        <v>3</v>
      </c>
      <c r="ED150" s="84" t="s">
        <v>1743</v>
      </c>
      <c r="EE150" s="84" t="s">
        <v>1744</v>
      </c>
      <c r="EF150" s="84" t="s">
        <v>1746</v>
      </c>
      <c r="EG150" s="86">
        <f t="shared" si="167"/>
        <v>-0.5</v>
      </c>
      <c r="EH150" s="86"/>
      <c r="EI150" s="86">
        <f t="shared" si="168"/>
        <v>13.063945294843618</v>
      </c>
      <c r="EJ150" s="86">
        <v>3</v>
      </c>
      <c r="EK150" s="86">
        <v>3</v>
      </c>
      <c r="EL150" s="84" t="s">
        <v>1743</v>
      </c>
      <c r="EM150" s="84" t="s">
        <v>1745</v>
      </c>
      <c r="EN150" s="86">
        <f t="shared" si="169"/>
        <v>3</v>
      </c>
      <c r="EO150" s="86">
        <f t="shared" si="170"/>
        <v>11.547005383792516</v>
      </c>
      <c r="EP150" s="86">
        <f t="shared" si="170"/>
        <v>3</v>
      </c>
      <c r="EQ150" s="86">
        <f t="shared" si="170"/>
        <v>3</v>
      </c>
      <c r="ER150" s="86">
        <f t="shared" si="171"/>
        <v>-0.5</v>
      </c>
      <c r="ES150" s="86">
        <f t="shared" si="172"/>
        <v>13.063945294843618</v>
      </c>
      <c r="ET150" s="86">
        <f t="shared" si="172"/>
        <v>3</v>
      </c>
      <c r="EU150" s="86">
        <f t="shared" si="172"/>
        <v>3</v>
      </c>
      <c r="EV150" s="86">
        <f t="shared" si="159"/>
        <v>12.328828005937956</v>
      </c>
      <c r="EW150" s="86">
        <f t="shared" si="160"/>
        <v>0.28388748697883437</v>
      </c>
      <c r="EX150" s="86">
        <f t="shared" si="161"/>
        <v>0.67338267543859642</v>
      </c>
      <c r="EY150" s="86">
        <f t="shared" si="162"/>
        <v>0.8</v>
      </c>
      <c r="EZ150" s="83">
        <f t="shared" si="173"/>
        <v>0.2271099895830675</v>
      </c>
      <c r="FA150" s="83">
        <f t="shared" si="163"/>
        <v>0.43096491228070177</v>
      </c>
      <c r="FB150" s="83">
        <f t="shared" si="164"/>
        <v>6</v>
      </c>
      <c r="FC150" s="84" t="s">
        <v>125</v>
      </c>
    </row>
    <row r="151" spans="1:159" s="82" customFormat="1" ht="17.100000000000001" customHeight="1">
      <c r="A151" s="78" t="s">
        <v>1810</v>
      </c>
      <c r="B151" s="81" t="s">
        <v>1946</v>
      </c>
      <c r="C151" s="80" t="str">
        <f t="shared" si="150"/>
        <v>Nuzzo, V. A., McClain, W., &amp; Strole, T. 1996.  Fire impact on groundlayer flora in a sand forest 1990-1996. American Midland Naturalist. 136 (2): 207-221.</v>
      </c>
      <c r="D151" s="81" t="s">
        <v>1480</v>
      </c>
      <c r="E151" s="81">
        <v>1996</v>
      </c>
      <c r="F151" s="81" t="s">
        <v>1535</v>
      </c>
      <c r="G151" s="81" t="s">
        <v>348</v>
      </c>
      <c r="H151" s="81" t="s">
        <v>694</v>
      </c>
      <c r="I151" s="81" t="s">
        <v>695</v>
      </c>
      <c r="J151" s="81"/>
      <c r="K151" s="84" t="s">
        <v>696</v>
      </c>
      <c r="L151" s="84" t="s">
        <v>18</v>
      </c>
      <c r="M151" s="83" t="s">
        <v>73</v>
      </c>
      <c r="N151" s="84" t="s">
        <v>389</v>
      </c>
      <c r="O151" s="84"/>
      <c r="P151" s="81" t="s">
        <v>16</v>
      </c>
      <c r="Q151" s="84" t="s">
        <v>334</v>
      </c>
      <c r="R151" s="84" t="s">
        <v>697</v>
      </c>
      <c r="S151" s="81"/>
      <c r="T151" s="81" t="s">
        <v>698</v>
      </c>
      <c r="U151" s="81" t="s">
        <v>699</v>
      </c>
      <c r="V151" s="81">
        <v>40.4</v>
      </c>
      <c r="W151" s="81">
        <v>-89.88</v>
      </c>
      <c r="X151" s="81"/>
      <c r="Y151" s="66" t="s">
        <v>1896</v>
      </c>
      <c r="Z151" s="66" t="s">
        <v>2203</v>
      </c>
      <c r="AA151" s="65" t="s">
        <v>555</v>
      </c>
      <c r="AB151" s="84" t="s">
        <v>238</v>
      </c>
      <c r="AC151" s="81" t="s">
        <v>136</v>
      </c>
      <c r="AD151" s="84"/>
      <c r="AE151" s="84"/>
      <c r="AF151" s="84" t="s">
        <v>64</v>
      </c>
      <c r="AG151" s="84" t="s">
        <v>92</v>
      </c>
      <c r="AH151" s="84" t="s">
        <v>106</v>
      </c>
      <c r="AI151" s="84" t="s">
        <v>276</v>
      </c>
      <c r="AJ151" s="86">
        <v>1</v>
      </c>
      <c r="AK151" s="86">
        <v>3</v>
      </c>
      <c r="AL151" s="86">
        <v>3</v>
      </c>
      <c r="AM151" s="84" t="s">
        <v>225</v>
      </c>
      <c r="AN151" s="84" t="s">
        <v>700</v>
      </c>
      <c r="AO151" s="84" t="s">
        <v>2107</v>
      </c>
      <c r="AP151" s="68" t="s">
        <v>2229</v>
      </c>
      <c r="AQ151" s="84" t="s">
        <v>95</v>
      </c>
      <c r="AR151" s="86">
        <v>3</v>
      </c>
      <c r="AS151" s="86" t="s">
        <v>1349</v>
      </c>
      <c r="AT151" s="86"/>
      <c r="AU151" s="90" t="s">
        <v>181</v>
      </c>
      <c r="AV151" s="88">
        <v>1.0909090909090908</v>
      </c>
      <c r="AW151" s="84" t="s">
        <v>1624</v>
      </c>
      <c r="AX151" s="91" t="s">
        <v>80</v>
      </c>
      <c r="AY151" s="86">
        <v>1</v>
      </c>
      <c r="AZ151" s="86">
        <v>3</v>
      </c>
      <c r="BA151" s="86" t="s">
        <v>1349</v>
      </c>
      <c r="BB151" s="86"/>
      <c r="BC151" s="84" t="s">
        <v>701</v>
      </c>
      <c r="BD151" s="93" t="s">
        <v>124</v>
      </c>
      <c r="BE151" s="84" t="s">
        <v>182</v>
      </c>
      <c r="BF151" s="93" t="s">
        <v>110</v>
      </c>
      <c r="BG151" s="84" t="s">
        <v>21</v>
      </c>
      <c r="BH151" s="84" t="s">
        <v>81</v>
      </c>
      <c r="BI151" s="84" t="s">
        <v>365</v>
      </c>
      <c r="BJ151" s="89">
        <f>33/12</f>
        <v>2.75</v>
      </c>
      <c r="BK151" s="84" t="s">
        <v>707</v>
      </c>
      <c r="BL151" s="84" t="s">
        <v>678</v>
      </c>
      <c r="BM151" s="88">
        <v>1.25</v>
      </c>
      <c r="BN151" s="84" t="s">
        <v>389</v>
      </c>
      <c r="BO151" s="84" t="s">
        <v>703</v>
      </c>
      <c r="BP151" s="84" t="s">
        <v>64</v>
      </c>
      <c r="BQ151" s="84"/>
      <c r="BR151" s="81" t="s">
        <v>704</v>
      </c>
      <c r="BS151" s="81" t="s">
        <v>2139</v>
      </c>
      <c r="BT151" s="84"/>
      <c r="BU151" s="86"/>
      <c r="BV151" s="86"/>
      <c r="BW151" s="90"/>
      <c r="BX151" s="86"/>
      <c r="BY151" s="86"/>
      <c r="BZ151" s="84"/>
      <c r="CA151" s="84"/>
      <c r="CB151" s="84"/>
      <c r="CC151" s="86"/>
      <c r="CD151" s="86"/>
      <c r="CE151" s="90"/>
      <c r="CF151" s="86"/>
      <c r="CG151" s="86"/>
      <c r="CH151" s="84"/>
      <c r="CI151" s="84"/>
      <c r="CJ151" s="84"/>
      <c r="CK151" s="86"/>
      <c r="CL151" s="86"/>
      <c r="CM151" s="86"/>
      <c r="CN151" s="86"/>
      <c r="CO151" s="86"/>
      <c r="CP151" s="84"/>
      <c r="CQ151" s="84"/>
      <c r="CR151" s="84" t="s">
        <v>683</v>
      </c>
      <c r="CS151" s="86">
        <v>6</v>
      </c>
      <c r="CT151" s="86">
        <v>0.3</v>
      </c>
      <c r="CU151" s="86">
        <v>6.9282032302755088</v>
      </c>
      <c r="CV151" s="86">
        <v>3</v>
      </c>
      <c r="CW151" s="86">
        <v>3</v>
      </c>
      <c r="CX151" s="84" t="s">
        <v>216</v>
      </c>
      <c r="CY151" s="91" t="s">
        <v>1619</v>
      </c>
      <c r="CZ151" s="84" t="s">
        <v>80</v>
      </c>
      <c r="DA151" s="82">
        <v>6.8</v>
      </c>
      <c r="DB151" s="82">
        <v>0.4</v>
      </c>
      <c r="DC151" s="82">
        <v>9.2376043070340135</v>
      </c>
      <c r="DD151" s="82">
        <v>3</v>
      </c>
      <c r="DE151" s="82">
        <v>3</v>
      </c>
      <c r="DF151" s="84" t="s">
        <v>216</v>
      </c>
      <c r="DG151" s="91" t="s">
        <v>1619</v>
      </c>
      <c r="DH151" s="84" t="s">
        <v>683</v>
      </c>
      <c r="DI151" s="82">
        <v>7.9</v>
      </c>
      <c r="DJ151" s="82">
        <v>0.3</v>
      </c>
      <c r="DK151" s="82">
        <v>6.9282032302755088</v>
      </c>
      <c r="DL151" s="82">
        <v>3</v>
      </c>
      <c r="DM151" s="82">
        <v>3</v>
      </c>
      <c r="DN151" s="82" t="s">
        <v>216</v>
      </c>
      <c r="DO151" s="91" t="s">
        <v>1619</v>
      </c>
      <c r="DP151" s="84" t="s">
        <v>80</v>
      </c>
      <c r="DQ151" s="82">
        <v>6.9</v>
      </c>
      <c r="DR151" s="82">
        <v>0.4</v>
      </c>
      <c r="DS151" s="82">
        <v>9.2376043070340135</v>
      </c>
      <c r="DT151" s="82">
        <v>3</v>
      </c>
      <c r="DU151" s="82">
        <v>3</v>
      </c>
      <c r="DV151" s="84" t="s">
        <v>216</v>
      </c>
      <c r="DW151" s="91" t="s">
        <v>1619</v>
      </c>
      <c r="DX151" s="84" t="s">
        <v>1747</v>
      </c>
      <c r="DY151" s="86">
        <f t="shared" si="165"/>
        <v>1.9000000000000004</v>
      </c>
      <c r="DZ151" s="86"/>
      <c r="EA151" s="86">
        <f t="shared" si="166"/>
        <v>9.7979589711327115</v>
      </c>
      <c r="EB151" s="86">
        <v>3</v>
      </c>
      <c r="EC151" s="86">
        <v>3</v>
      </c>
      <c r="ED151" s="84" t="s">
        <v>1743</v>
      </c>
      <c r="EE151" s="84" t="s">
        <v>1744</v>
      </c>
      <c r="EF151" s="84" t="s">
        <v>1746</v>
      </c>
      <c r="EG151" s="86">
        <f t="shared" si="167"/>
        <v>0.10000000000000053</v>
      </c>
      <c r="EH151" s="86"/>
      <c r="EI151" s="86">
        <f t="shared" si="168"/>
        <v>13.063945294843618</v>
      </c>
      <c r="EJ151" s="86">
        <v>3</v>
      </c>
      <c r="EK151" s="86">
        <v>3</v>
      </c>
      <c r="EL151" s="84" t="s">
        <v>1743</v>
      </c>
      <c r="EM151" s="84" t="s">
        <v>1745</v>
      </c>
      <c r="EN151" s="86">
        <f t="shared" si="169"/>
        <v>1.9000000000000004</v>
      </c>
      <c r="EO151" s="86">
        <f t="shared" si="170"/>
        <v>9.7979589711327115</v>
      </c>
      <c r="EP151" s="86">
        <f t="shared" si="170"/>
        <v>3</v>
      </c>
      <c r="EQ151" s="86">
        <f t="shared" si="170"/>
        <v>3</v>
      </c>
      <c r="ER151" s="86">
        <f t="shared" si="171"/>
        <v>0.10000000000000053</v>
      </c>
      <c r="ES151" s="86">
        <f t="shared" si="172"/>
        <v>13.063945294843618</v>
      </c>
      <c r="ET151" s="86">
        <f t="shared" si="172"/>
        <v>3</v>
      </c>
      <c r="EU151" s="86">
        <f t="shared" si="172"/>
        <v>3</v>
      </c>
      <c r="EV151" s="86">
        <f t="shared" si="159"/>
        <v>11.547005383792516</v>
      </c>
      <c r="EW151" s="86">
        <f t="shared" si="160"/>
        <v>0.15588457268119893</v>
      </c>
      <c r="EX151" s="86">
        <f t="shared" si="161"/>
        <v>0.66869166666666668</v>
      </c>
      <c r="EY151" s="86">
        <f t="shared" si="162"/>
        <v>0.8</v>
      </c>
      <c r="EZ151" s="83">
        <f t="shared" si="173"/>
        <v>0.12470765814495915</v>
      </c>
      <c r="FA151" s="83">
        <f t="shared" si="163"/>
        <v>0.42796266666666677</v>
      </c>
      <c r="FB151" s="83">
        <f t="shared" si="164"/>
        <v>6</v>
      </c>
      <c r="FC151" s="84" t="s">
        <v>125</v>
      </c>
    </row>
    <row r="152" spans="1:159" s="82" customFormat="1" ht="17.100000000000001" customHeight="1">
      <c r="A152" s="78" t="s">
        <v>1810</v>
      </c>
      <c r="B152" s="81" t="s">
        <v>1947</v>
      </c>
      <c r="C152" s="80" t="str">
        <f t="shared" si="150"/>
        <v>Nuzzo, V. A., McClain, W., &amp; Strole, T. 1996.  Fire impact on groundlayer flora in a sand forest 1990-1997. American Midland Naturalist. 136 (2): 207-221.</v>
      </c>
      <c r="D152" s="81" t="s">
        <v>1480</v>
      </c>
      <c r="E152" s="81">
        <v>1996</v>
      </c>
      <c r="F152" s="81" t="s">
        <v>1536</v>
      </c>
      <c r="G152" s="81" t="s">
        <v>348</v>
      </c>
      <c r="H152" s="81" t="s">
        <v>694</v>
      </c>
      <c r="I152" s="81" t="s">
        <v>695</v>
      </c>
      <c r="J152" s="81"/>
      <c r="K152" s="84" t="s">
        <v>696</v>
      </c>
      <c r="L152" s="84" t="s">
        <v>18</v>
      </c>
      <c r="M152" s="83" t="s">
        <v>73</v>
      </c>
      <c r="N152" s="84" t="s">
        <v>389</v>
      </c>
      <c r="O152" s="84"/>
      <c r="P152" s="81" t="s">
        <v>16</v>
      </c>
      <c r="Q152" s="84" t="s">
        <v>334</v>
      </c>
      <c r="R152" s="84" t="s">
        <v>697</v>
      </c>
      <c r="S152" s="81"/>
      <c r="T152" s="81" t="s">
        <v>698</v>
      </c>
      <c r="U152" s="81" t="s">
        <v>699</v>
      </c>
      <c r="V152" s="81">
        <v>40.4</v>
      </c>
      <c r="W152" s="81">
        <v>-89.88</v>
      </c>
      <c r="X152" s="81"/>
      <c r="Y152" s="66" t="s">
        <v>1896</v>
      </c>
      <c r="Z152" s="66" t="s">
        <v>2203</v>
      </c>
      <c r="AA152" s="65" t="s">
        <v>555</v>
      </c>
      <c r="AB152" s="84" t="s">
        <v>238</v>
      </c>
      <c r="AC152" s="81" t="s">
        <v>136</v>
      </c>
      <c r="AD152" s="84"/>
      <c r="AE152" s="84"/>
      <c r="AF152" s="84" t="s">
        <v>64</v>
      </c>
      <c r="AG152" s="84" t="s">
        <v>92</v>
      </c>
      <c r="AH152" s="84" t="s">
        <v>106</v>
      </c>
      <c r="AI152" s="84" t="s">
        <v>276</v>
      </c>
      <c r="AJ152" s="86">
        <v>1</v>
      </c>
      <c r="AK152" s="86">
        <v>1</v>
      </c>
      <c r="AL152" s="86">
        <v>1</v>
      </c>
      <c r="AM152" s="84" t="s">
        <v>225</v>
      </c>
      <c r="AN152" s="84" t="s">
        <v>708</v>
      </c>
      <c r="AO152" s="84" t="s">
        <v>526</v>
      </c>
      <c r="AP152" s="68" t="s">
        <v>2227</v>
      </c>
      <c r="AQ152" s="84" t="s">
        <v>95</v>
      </c>
      <c r="AR152" s="86">
        <v>3</v>
      </c>
      <c r="AS152" s="86" t="s">
        <v>1349</v>
      </c>
      <c r="AT152" s="86"/>
      <c r="AU152" s="90" t="s">
        <v>85</v>
      </c>
      <c r="AV152" s="88">
        <v>1</v>
      </c>
      <c r="AW152" s="84" t="s">
        <v>1624</v>
      </c>
      <c r="AX152" s="91" t="s">
        <v>80</v>
      </c>
      <c r="AY152" s="86">
        <v>1</v>
      </c>
      <c r="AZ152" s="86">
        <v>3</v>
      </c>
      <c r="BA152" s="86" t="s">
        <v>1349</v>
      </c>
      <c r="BB152" s="86"/>
      <c r="BC152" s="84" t="s">
        <v>701</v>
      </c>
      <c r="BD152" s="93" t="s">
        <v>124</v>
      </c>
      <c r="BE152" s="84" t="s">
        <v>182</v>
      </c>
      <c r="BF152" s="93" t="s">
        <v>110</v>
      </c>
      <c r="BG152" s="84" t="s">
        <v>21</v>
      </c>
      <c r="BH152" s="84" t="s">
        <v>81</v>
      </c>
      <c r="BI152" s="84" t="s">
        <v>365</v>
      </c>
      <c r="BJ152" s="89">
        <f>4/12</f>
        <v>0.33333333333333331</v>
      </c>
      <c r="BK152" s="91" t="s">
        <v>1292</v>
      </c>
      <c r="BL152" s="84" t="s">
        <v>1292</v>
      </c>
      <c r="BM152" s="88">
        <v>0.33333333333333331</v>
      </c>
      <c r="BN152" s="84" t="s">
        <v>379</v>
      </c>
      <c r="BO152" s="84" t="s">
        <v>703</v>
      </c>
      <c r="BP152" s="84" t="s">
        <v>64</v>
      </c>
      <c r="BQ152" s="84"/>
      <c r="BR152" s="81" t="s">
        <v>704</v>
      </c>
      <c r="BS152" s="81" t="s">
        <v>2139</v>
      </c>
      <c r="BT152" s="84"/>
      <c r="BU152" s="86"/>
      <c r="BV152" s="86"/>
      <c r="BW152" s="90"/>
      <c r="BX152" s="86"/>
      <c r="BY152" s="86"/>
      <c r="BZ152" s="84"/>
      <c r="CA152" s="84"/>
      <c r="CB152" s="84"/>
      <c r="CC152" s="86"/>
      <c r="CD152" s="86"/>
      <c r="CE152" s="90"/>
      <c r="CF152" s="86"/>
      <c r="CG152" s="86"/>
      <c r="CH152" s="84"/>
      <c r="CI152" s="84"/>
      <c r="CJ152" s="84"/>
      <c r="CK152" s="86"/>
      <c r="CL152" s="86"/>
      <c r="CM152" s="86"/>
      <c r="CN152" s="86"/>
      <c r="CO152" s="86"/>
      <c r="CP152" s="84"/>
      <c r="CQ152" s="84"/>
      <c r="CR152" s="84" t="s">
        <v>572</v>
      </c>
      <c r="CS152" s="86">
        <v>7</v>
      </c>
      <c r="CT152" s="86">
        <v>0.4</v>
      </c>
      <c r="CU152" s="86">
        <v>9.2376043070340135</v>
      </c>
      <c r="CV152" s="86">
        <v>3</v>
      </c>
      <c r="CW152" s="86">
        <v>3</v>
      </c>
      <c r="CX152" s="84" t="s">
        <v>216</v>
      </c>
      <c r="CY152" s="91" t="s">
        <v>1619</v>
      </c>
      <c r="CZ152" s="84" t="s">
        <v>80</v>
      </c>
      <c r="DA152" s="82">
        <v>6.8</v>
      </c>
      <c r="DB152" s="82">
        <v>0.4</v>
      </c>
      <c r="DC152" s="82">
        <v>9.2376043070340135</v>
      </c>
      <c r="DD152" s="82">
        <v>3</v>
      </c>
      <c r="DE152" s="82">
        <v>3</v>
      </c>
      <c r="DF152" s="84" t="s">
        <v>216</v>
      </c>
      <c r="DG152" s="91" t="s">
        <v>1619</v>
      </c>
      <c r="DH152" s="84" t="s">
        <v>572</v>
      </c>
      <c r="DI152" s="82">
        <v>10.8</v>
      </c>
      <c r="DJ152" s="82">
        <v>0.3</v>
      </c>
      <c r="DK152" s="82">
        <v>6.9282032302755088</v>
      </c>
      <c r="DL152" s="82">
        <v>3</v>
      </c>
      <c r="DM152" s="82">
        <v>3</v>
      </c>
      <c r="DN152" s="82" t="s">
        <v>216</v>
      </c>
      <c r="DO152" s="91" t="s">
        <v>1619</v>
      </c>
      <c r="DP152" s="84" t="s">
        <v>80</v>
      </c>
      <c r="DQ152" s="82">
        <v>7.4</v>
      </c>
      <c r="DR152" s="82">
        <v>0.4</v>
      </c>
      <c r="DS152" s="82">
        <v>9.2376043070340135</v>
      </c>
      <c r="DT152" s="82">
        <v>3</v>
      </c>
      <c r="DU152" s="82">
        <v>3</v>
      </c>
      <c r="DV152" s="84" t="s">
        <v>216</v>
      </c>
      <c r="DW152" s="91" t="s">
        <v>1619</v>
      </c>
      <c r="DX152" s="84" t="s">
        <v>1747</v>
      </c>
      <c r="DY152" s="86">
        <f t="shared" si="165"/>
        <v>3.8000000000000007</v>
      </c>
      <c r="DZ152" s="86"/>
      <c r="EA152" s="86">
        <f t="shared" si="166"/>
        <v>11.547005383792516</v>
      </c>
      <c r="EB152" s="86">
        <v>3</v>
      </c>
      <c r="EC152" s="86">
        <v>3</v>
      </c>
      <c r="ED152" s="84" t="s">
        <v>1743</v>
      </c>
      <c r="EE152" s="84" t="s">
        <v>1744</v>
      </c>
      <c r="EF152" s="84" t="s">
        <v>1746</v>
      </c>
      <c r="EG152" s="86">
        <f t="shared" si="167"/>
        <v>0.60000000000000053</v>
      </c>
      <c r="EH152" s="86"/>
      <c r="EI152" s="86">
        <f t="shared" si="168"/>
        <v>13.063945294843618</v>
      </c>
      <c r="EJ152" s="86">
        <v>3</v>
      </c>
      <c r="EK152" s="86">
        <v>3</v>
      </c>
      <c r="EL152" s="84" t="s">
        <v>1743</v>
      </c>
      <c r="EM152" s="84" t="s">
        <v>1745</v>
      </c>
      <c r="EN152" s="86">
        <f t="shared" si="169"/>
        <v>3.8000000000000007</v>
      </c>
      <c r="EO152" s="86">
        <f t="shared" si="170"/>
        <v>11.547005383792516</v>
      </c>
      <c r="EP152" s="86">
        <f t="shared" si="170"/>
        <v>3</v>
      </c>
      <c r="EQ152" s="86">
        <f t="shared" si="170"/>
        <v>3</v>
      </c>
      <c r="ER152" s="86">
        <f t="shared" si="171"/>
        <v>0.60000000000000053</v>
      </c>
      <c r="ES152" s="86">
        <f t="shared" si="172"/>
        <v>13.063945294843618</v>
      </c>
      <c r="ET152" s="86">
        <f t="shared" si="172"/>
        <v>3</v>
      </c>
      <c r="EU152" s="86">
        <f t="shared" si="172"/>
        <v>3</v>
      </c>
      <c r="EV152" s="86">
        <f t="shared" si="159"/>
        <v>12.328828005937956</v>
      </c>
      <c r="EW152" s="86">
        <f t="shared" si="160"/>
        <v>0.25955427380922003</v>
      </c>
      <c r="EX152" s="86">
        <f t="shared" si="161"/>
        <v>0.67228070175438592</v>
      </c>
      <c r="EY152" s="86">
        <f t="shared" si="162"/>
        <v>0.8</v>
      </c>
      <c r="EZ152" s="83">
        <f t="shared" si="173"/>
        <v>0.20764341904737604</v>
      </c>
      <c r="FA152" s="83">
        <f t="shared" si="163"/>
        <v>0.43025964912280706</v>
      </c>
      <c r="FB152" s="83">
        <f t="shared" si="164"/>
        <v>6</v>
      </c>
      <c r="FC152" s="84" t="s">
        <v>125</v>
      </c>
    </row>
    <row r="153" spans="1:159" ht="17.100000000000001" customHeight="1">
      <c r="A153" s="78" t="s">
        <v>1810</v>
      </c>
      <c r="B153" s="81" t="s">
        <v>1948</v>
      </c>
      <c r="C153" s="80" t="str">
        <f t="shared" si="150"/>
        <v>Nuzzo, V. A., McClain, W., &amp; Strole, T. 1996.  Fire impact on groundlayer flora in a sand forest 1990-1998. American Midland Naturalist. 136 (2): 207-221.</v>
      </c>
      <c r="D153" s="81" t="s">
        <v>1480</v>
      </c>
      <c r="E153" s="81">
        <v>1996</v>
      </c>
      <c r="F153" s="81" t="s">
        <v>1537</v>
      </c>
      <c r="G153" s="81" t="s">
        <v>348</v>
      </c>
      <c r="H153" s="81" t="s">
        <v>694</v>
      </c>
      <c r="I153" s="81" t="s">
        <v>695</v>
      </c>
      <c r="J153" s="81"/>
      <c r="K153" s="84" t="s">
        <v>696</v>
      </c>
      <c r="L153" s="84" t="s">
        <v>18</v>
      </c>
      <c r="M153" s="83" t="s">
        <v>73</v>
      </c>
      <c r="N153" s="84" t="s">
        <v>389</v>
      </c>
      <c r="O153" s="84"/>
      <c r="P153" s="81" t="s">
        <v>16</v>
      </c>
      <c r="Q153" s="84" t="s">
        <v>334</v>
      </c>
      <c r="R153" s="84" t="s">
        <v>697</v>
      </c>
      <c r="S153" s="81"/>
      <c r="T153" s="81" t="s">
        <v>698</v>
      </c>
      <c r="U153" s="81" t="s">
        <v>699</v>
      </c>
      <c r="V153" s="81">
        <v>40.4</v>
      </c>
      <c r="W153" s="81">
        <v>-89.88</v>
      </c>
      <c r="X153" s="81"/>
      <c r="Y153" s="66" t="s">
        <v>1896</v>
      </c>
      <c r="Z153" s="66" t="s">
        <v>2203</v>
      </c>
      <c r="AA153" s="65" t="s">
        <v>555</v>
      </c>
      <c r="AB153" s="84" t="s">
        <v>238</v>
      </c>
      <c r="AC153" s="81" t="s">
        <v>136</v>
      </c>
      <c r="AD153" s="84"/>
      <c r="AE153" s="84"/>
      <c r="AF153" s="84" t="s">
        <v>64</v>
      </c>
      <c r="AG153" s="84" t="s">
        <v>92</v>
      </c>
      <c r="AH153" s="84" t="s">
        <v>106</v>
      </c>
      <c r="AI153" s="84" t="s">
        <v>276</v>
      </c>
      <c r="AJ153" s="86">
        <v>1</v>
      </c>
      <c r="AK153" s="86">
        <v>2</v>
      </c>
      <c r="AL153" s="86">
        <v>2</v>
      </c>
      <c r="AM153" s="84" t="s">
        <v>225</v>
      </c>
      <c r="AN153" s="84" t="s">
        <v>708</v>
      </c>
      <c r="AO153" s="84" t="s">
        <v>526</v>
      </c>
      <c r="AP153" s="68" t="s">
        <v>2227</v>
      </c>
      <c r="AQ153" s="84" t="s">
        <v>95</v>
      </c>
      <c r="AR153" s="86">
        <v>3</v>
      </c>
      <c r="AS153" s="86" t="s">
        <v>1349</v>
      </c>
      <c r="AT153" s="86"/>
      <c r="AU153" s="90" t="s">
        <v>227</v>
      </c>
      <c r="AV153" s="88">
        <v>1.6</v>
      </c>
      <c r="AW153" s="84" t="s">
        <v>1624</v>
      </c>
      <c r="AX153" s="91" t="s">
        <v>80</v>
      </c>
      <c r="AY153" s="86">
        <v>1</v>
      </c>
      <c r="AZ153" s="86">
        <v>3</v>
      </c>
      <c r="BA153" s="86" t="s">
        <v>1349</v>
      </c>
      <c r="BB153" s="86"/>
      <c r="BC153" s="84" t="s">
        <v>701</v>
      </c>
      <c r="BD153" s="93" t="s">
        <v>124</v>
      </c>
      <c r="BE153" s="84" t="s">
        <v>182</v>
      </c>
      <c r="BF153" s="93" t="s">
        <v>110</v>
      </c>
      <c r="BG153" s="84" t="s">
        <v>21</v>
      </c>
      <c r="BH153" s="84" t="s">
        <v>81</v>
      </c>
      <c r="BI153" s="84" t="s">
        <v>365</v>
      </c>
      <c r="BJ153" s="89">
        <f>15/12</f>
        <v>1.25</v>
      </c>
      <c r="BK153" s="91" t="s">
        <v>678</v>
      </c>
      <c r="BL153" s="84" t="s">
        <v>706</v>
      </c>
      <c r="BM153" s="88">
        <v>0.25</v>
      </c>
      <c r="BN153" s="84" t="s">
        <v>379</v>
      </c>
      <c r="BO153" s="84" t="s">
        <v>703</v>
      </c>
      <c r="BP153" s="84" t="s">
        <v>64</v>
      </c>
      <c r="BQ153" s="84"/>
      <c r="BR153" s="81" t="s">
        <v>704</v>
      </c>
      <c r="BS153" s="81" t="s">
        <v>2139</v>
      </c>
      <c r="BT153" s="84"/>
      <c r="BU153" s="86"/>
      <c r="BV153" s="86"/>
      <c r="BW153" s="90"/>
      <c r="BX153" s="86"/>
      <c r="BY153" s="86"/>
      <c r="BZ153" s="84"/>
      <c r="CA153" s="84"/>
      <c r="CB153" s="84"/>
      <c r="CC153" s="86"/>
      <c r="CD153" s="86"/>
      <c r="CE153" s="90"/>
      <c r="CF153" s="86"/>
      <c r="CG153" s="86"/>
      <c r="CH153" s="84"/>
      <c r="CI153" s="84"/>
      <c r="CJ153" s="84"/>
      <c r="CK153" s="86"/>
      <c r="CL153" s="86"/>
      <c r="CM153" s="86"/>
      <c r="CN153" s="86"/>
      <c r="CO153" s="86"/>
      <c r="CP153" s="84"/>
      <c r="CQ153" s="84"/>
      <c r="CR153" s="84" t="s">
        <v>573</v>
      </c>
      <c r="CS153" s="86">
        <v>7</v>
      </c>
      <c r="CT153" s="86">
        <v>0.4</v>
      </c>
      <c r="CU153" s="86">
        <v>9.2376043070340135</v>
      </c>
      <c r="CV153" s="86">
        <v>3</v>
      </c>
      <c r="CW153" s="86">
        <v>3</v>
      </c>
      <c r="CX153" s="84" t="s">
        <v>216</v>
      </c>
      <c r="CY153" s="91" t="s">
        <v>1619</v>
      </c>
      <c r="CZ153" s="84" t="s">
        <v>80</v>
      </c>
      <c r="DA153" s="82">
        <v>6.8</v>
      </c>
      <c r="DB153" s="82">
        <v>0.4</v>
      </c>
      <c r="DC153" s="82">
        <v>9.2376043070340135</v>
      </c>
      <c r="DD153" s="82">
        <v>3</v>
      </c>
      <c r="DE153" s="82">
        <v>3</v>
      </c>
      <c r="DF153" s="84" t="s">
        <v>216</v>
      </c>
      <c r="DG153" s="91" t="s">
        <v>1619</v>
      </c>
      <c r="DH153" s="84" t="s">
        <v>573</v>
      </c>
      <c r="DI153" s="82">
        <v>8.5</v>
      </c>
      <c r="DJ153" s="82">
        <v>0.4</v>
      </c>
      <c r="DK153" s="82">
        <v>9.2376043070340135</v>
      </c>
      <c r="DL153" s="82">
        <v>3</v>
      </c>
      <c r="DM153" s="82">
        <v>3</v>
      </c>
      <c r="DN153" s="82" t="s">
        <v>216</v>
      </c>
      <c r="DO153" s="91" t="s">
        <v>1619</v>
      </c>
      <c r="DP153" s="84" t="s">
        <v>80</v>
      </c>
      <c r="DQ153" s="82">
        <v>6.3</v>
      </c>
      <c r="DR153" s="82">
        <v>0.4</v>
      </c>
      <c r="DS153" s="82">
        <v>9.2376043070340135</v>
      </c>
      <c r="DT153" s="82">
        <v>3</v>
      </c>
      <c r="DU153" s="82">
        <v>3</v>
      </c>
      <c r="DV153" s="84" t="s">
        <v>216</v>
      </c>
      <c r="DW153" s="91" t="s">
        <v>1619</v>
      </c>
      <c r="DX153" s="84" t="s">
        <v>1747</v>
      </c>
      <c r="DY153" s="86">
        <f t="shared" si="165"/>
        <v>1.5</v>
      </c>
      <c r="DZ153" s="86"/>
      <c r="EA153" s="86">
        <f t="shared" si="166"/>
        <v>13.063945294843618</v>
      </c>
      <c r="EB153" s="86">
        <v>3</v>
      </c>
      <c r="EC153" s="86">
        <v>3</v>
      </c>
      <c r="ED153" s="84" t="s">
        <v>1743</v>
      </c>
      <c r="EE153" s="84" t="s">
        <v>1744</v>
      </c>
      <c r="EF153" s="84" t="s">
        <v>1746</v>
      </c>
      <c r="EG153" s="86">
        <f t="shared" si="167"/>
        <v>-0.5</v>
      </c>
      <c r="EH153" s="86"/>
      <c r="EI153" s="86">
        <f t="shared" si="168"/>
        <v>13.063945294843618</v>
      </c>
      <c r="EJ153" s="86">
        <v>3</v>
      </c>
      <c r="EK153" s="86">
        <v>3</v>
      </c>
      <c r="EL153" s="84" t="s">
        <v>1743</v>
      </c>
      <c r="EM153" s="84" t="s">
        <v>1745</v>
      </c>
      <c r="EN153" s="86">
        <f t="shared" si="169"/>
        <v>1.5</v>
      </c>
      <c r="EO153" s="86">
        <f t="shared" si="170"/>
        <v>13.063945294843618</v>
      </c>
      <c r="EP153" s="86">
        <f t="shared" si="170"/>
        <v>3</v>
      </c>
      <c r="EQ153" s="86">
        <f t="shared" si="170"/>
        <v>3</v>
      </c>
      <c r="ER153" s="86">
        <f t="shared" si="171"/>
        <v>-0.5</v>
      </c>
      <c r="ES153" s="86">
        <f t="shared" si="172"/>
        <v>13.063945294843618</v>
      </c>
      <c r="ET153" s="86">
        <f t="shared" si="172"/>
        <v>3</v>
      </c>
      <c r="EU153" s="86">
        <f t="shared" si="172"/>
        <v>3</v>
      </c>
      <c r="EV153" s="86">
        <f t="shared" si="159"/>
        <v>13.063945294843618</v>
      </c>
      <c r="EW153" s="86">
        <f t="shared" si="160"/>
        <v>0.15309310892394862</v>
      </c>
      <c r="EX153" s="86">
        <f t="shared" si="161"/>
        <v>0.66861979166666663</v>
      </c>
      <c r="EY153" s="86">
        <f t="shared" si="162"/>
        <v>0.8</v>
      </c>
      <c r="EZ153" s="83">
        <f t="shared" si="173"/>
        <v>0.1224744871391589</v>
      </c>
      <c r="FA153" s="83">
        <f t="shared" si="163"/>
        <v>0.42791666666666672</v>
      </c>
      <c r="FB153" s="83">
        <f t="shared" si="164"/>
        <v>6</v>
      </c>
      <c r="FC153" s="84" t="s">
        <v>125</v>
      </c>
    </row>
    <row r="154" spans="1:159" s="82" customFormat="1" ht="17.100000000000001" customHeight="1">
      <c r="A154" s="78" t="s">
        <v>1810</v>
      </c>
      <c r="B154" s="81" t="s">
        <v>1949</v>
      </c>
      <c r="C154" s="80" t="str">
        <f t="shared" si="150"/>
        <v>Nuzzo, V. A., McClain, W., &amp; Strole, T. 1996.  Fire impact on groundlayer flora in a sand forest 1990-1999. American Midland Naturalist. 136 (2): 207-221.</v>
      </c>
      <c r="D154" s="81" t="s">
        <v>1480</v>
      </c>
      <c r="E154" s="81">
        <v>1996</v>
      </c>
      <c r="F154" s="81" t="s">
        <v>1538</v>
      </c>
      <c r="G154" s="81" t="s">
        <v>348</v>
      </c>
      <c r="H154" s="81" t="s">
        <v>694</v>
      </c>
      <c r="I154" s="81" t="s">
        <v>695</v>
      </c>
      <c r="J154" s="81"/>
      <c r="K154" s="84" t="s">
        <v>696</v>
      </c>
      <c r="L154" s="84" t="s">
        <v>18</v>
      </c>
      <c r="M154" s="83" t="s">
        <v>73</v>
      </c>
      <c r="N154" s="84" t="s">
        <v>389</v>
      </c>
      <c r="O154" s="84"/>
      <c r="P154" s="81" t="s">
        <v>16</v>
      </c>
      <c r="Q154" s="84" t="s">
        <v>334</v>
      </c>
      <c r="R154" s="84" t="s">
        <v>697</v>
      </c>
      <c r="S154" s="81"/>
      <c r="T154" s="81" t="s">
        <v>698</v>
      </c>
      <c r="U154" s="81" t="s">
        <v>699</v>
      </c>
      <c r="V154" s="81">
        <v>40.4</v>
      </c>
      <c r="W154" s="81">
        <v>-89.88</v>
      </c>
      <c r="X154" s="81"/>
      <c r="Y154" s="66" t="s">
        <v>1896</v>
      </c>
      <c r="Z154" s="66" t="s">
        <v>2203</v>
      </c>
      <c r="AA154" s="65" t="s">
        <v>555</v>
      </c>
      <c r="AB154" s="84" t="s">
        <v>238</v>
      </c>
      <c r="AC154" s="81" t="s">
        <v>136</v>
      </c>
      <c r="AD154" s="84"/>
      <c r="AE154" s="84"/>
      <c r="AF154" s="84" t="s">
        <v>64</v>
      </c>
      <c r="AG154" s="84" t="s">
        <v>92</v>
      </c>
      <c r="AH154" s="84" t="s">
        <v>106</v>
      </c>
      <c r="AI154" s="84" t="s">
        <v>276</v>
      </c>
      <c r="AJ154" s="86">
        <v>1</v>
      </c>
      <c r="AK154" s="86">
        <v>3</v>
      </c>
      <c r="AL154" s="86">
        <v>3</v>
      </c>
      <c r="AM154" s="84" t="s">
        <v>225</v>
      </c>
      <c r="AN154" s="84" t="s">
        <v>708</v>
      </c>
      <c r="AO154" s="84" t="s">
        <v>526</v>
      </c>
      <c r="AP154" s="68" t="s">
        <v>2227</v>
      </c>
      <c r="AQ154" s="84" t="s">
        <v>95</v>
      </c>
      <c r="AR154" s="86">
        <v>3</v>
      </c>
      <c r="AS154" s="86" t="s">
        <v>1349</v>
      </c>
      <c r="AT154" s="86"/>
      <c r="AU154" s="90" t="s">
        <v>181</v>
      </c>
      <c r="AV154" s="88">
        <v>0.92307692307692313</v>
      </c>
      <c r="AW154" s="84" t="s">
        <v>1624</v>
      </c>
      <c r="AX154" s="91" t="s">
        <v>80</v>
      </c>
      <c r="AY154" s="86">
        <v>1</v>
      </c>
      <c r="AZ154" s="86">
        <v>3</v>
      </c>
      <c r="BA154" s="86" t="s">
        <v>1349</v>
      </c>
      <c r="BB154" s="86"/>
      <c r="BC154" s="84" t="s">
        <v>701</v>
      </c>
      <c r="BD154" s="93" t="s">
        <v>124</v>
      </c>
      <c r="BE154" s="84" t="s">
        <v>182</v>
      </c>
      <c r="BF154" s="149" t="s">
        <v>110</v>
      </c>
      <c r="BG154" s="84" t="s">
        <v>21</v>
      </c>
      <c r="BH154" s="84" t="s">
        <v>81</v>
      </c>
      <c r="BI154" s="84" t="s">
        <v>365</v>
      </c>
      <c r="BJ154" s="89">
        <f>39/12</f>
        <v>3.25</v>
      </c>
      <c r="BK154" s="84" t="s">
        <v>709</v>
      </c>
      <c r="BL154" s="84" t="s">
        <v>678</v>
      </c>
      <c r="BM154" s="88">
        <v>1.25</v>
      </c>
      <c r="BN154" s="84" t="s">
        <v>389</v>
      </c>
      <c r="BO154" s="84" t="s">
        <v>703</v>
      </c>
      <c r="BP154" s="84" t="s">
        <v>64</v>
      </c>
      <c r="BQ154" s="84"/>
      <c r="BR154" s="81" t="s">
        <v>704</v>
      </c>
      <c r="BS154" s="81" t="s">
        <v>2139</v>
      </c>
      <c r="BT154" s="84"/>
      <c r="BU154" s="86"/>
      <c r="BV154" s="86"/>
      <c r="BW154" s="90"/>
      <c r="BX154" s="86"/>
      <c r="BY154" s="86"/>
      <c r="BZ154" s="84"/>
      <c r="CA154" s="84"/>
      <c r="CB154" s="84"/>
      <c r="CC154" s="86"/>
      <c r="CD154" s="86"/>
      <c r="CE154" s="90"/>
      <c r="CF154" s="86"/>
      <c r="CG154" s="86"/>
      <c r="CH154" s="84"/>
      <c r="CI154" s="84"/>
      <c r="CJ154" s="84"/>
      <c r="CK154" s="86"/>
      <c r="CL154" s="86"/>
      <c r="CM154" s="86"/>
      <c r="CN154" s="86"/>
      <c r="CO154" s="86"/>
      <c r="CP154" s="84"/>
      <c r="CQ154" s="84"/>
      <c r="CR154" s="84" t="s">
        <v>683</v>
      </c>
      <c r="CS154" s="86">
        <v>7</v>
      </c>
      <c r="CT154" s="86">
        <v>0.4</v>
      </c>
      <c r="CU154" s="86">
        <v>9.2376043070340135</v>
      </c>
      <c r="CV154" s="86">
        <v>3</v>
      </c>
      <c r="CW154" s="86">
        <v>3</v>
      </c>
      <c r="CX154" s="84" t="s">
        <v>216</v>
      </c>
      <c r="CY154" s="91" t="s">
        <v>1619</v>
      </c>
      <c r="CZ154" s="84" t="s">
        <v>80</v>
      </c>
      <c r="DA154" s="82">
        <v>6.8</v>
      </c>
      <c r="DB154" s="82">
        <v>0.4</v>
      </c>
      <c r="DC154" s="82">
        <v>9.2376043070340135</v>
      </c>
      <c r="DD154" s="82">
        <v>3</v>
      </c>
      <c r="DE154" s="82">
        <v>3</v>
      </c>
      <c r="DF154" s="84" t="s">
        <v>216</v>
      </c>
      <c r="DG154" s="91" t="s">
        <v>1619</v>
      </c>
      <c r="DH154" s="84" t="s">
        <v>683</v>
      </c>
      <c r="DI154" s="82">
        <v>8.9</v>
      </c>
      <c r="DJ154" s="82">
        <v>0.4</v>
      </c>
      <c r="DK154" s="82">
        <v>9.2376043070340135</v>
      </c>
      <c r="DL154" s="82">
        <v>3</v>
      </c>
      <c r="DM154" s="82">
        <v>3</v>
      </c>
      <c r="DN154" s="82" t="s">
        <v>216</v>
      </c>
      <c r="DO154" s="91" t="s">
        <v>1619</v>
      </c>
      <c r="DP154" s="84" t="s">
        <v>80</v>
      </c>
      <c r="DQ154" s="82">
        <v>6.9</v>
      </c>
      <c r="DR154" s="82">
        <v>0.4</v>
      </c>
      <c r="DS154" s="82">
        <v>9.2376043070340135</v>
      </c>
      <c r="DT154" s="82">
        <v>3</v>
      </c>
      <c r="DU154" s="82">
        <v>3</v>
      </c>
      <c r="DV154" s="84" t="s">
        <v>216</v>
      </c>
      <c r="DW154" s="91" t="s">
        <v>1619</v>
      </c>
      <c r="DX154" s="84" t="s">
        <v>1747</v>
      </c>
      <c r="DY154" s="86">
        <f t="shared" si="165"/>
        <v>1.9000000000000004</v>
      </c>
      <c r="DZ154" s="86"/>
      <c r="EA154" s="86">
        <f t="shared" si="166"/>
        <v>13.063945294843618</v>
      </c>
      <c r="EB154" s="86">
        <v>3</v>
      </c>
      <c r="EC154" s="86">
        <v>3</v>
      </c>
      <c r="ED154" s="84" t="s">
        <v>1743</v>
      </c>
      <c r="EE154" s="84" t="s">
        <v>1744</v>
      </c>
      <c r="EF154" s="84" t="s">
        <v>1746</v>
      </c>
      <c r="EG154" s="86">
        <f t="shared" si="167"/>
        <v>0.10000000000000053</v>
      </c>
      <c r="EH154" s="86"/>
      <c r="EI154" s="86">
        <f t="shared" si="168"/>
        <v>13.063945294843618</v>
      </c>
      <c r="EJ154" s="86">
        <v>3</v>
      </c>
      <c r="EK154" s="86">
        <v>3</v>
      </c>
      <c r="EL154" s="84" t="s">
        <v>1743</v>
      </c>
      <c r="EM154" s="84" t="s">
        <v>1745</v>
      </c>
      <c r="EN154" s="86">
        <f t="shared" si="169"/>
        <v>1.9000000000000004</v>
      </c>
      <c r="EO154" s="86">
        <f t="shared" si="170"/>
        <v>13.063945294843618</v>
      </c>
      <c r="EP154" s="86">
        <f t="shared" si="170"/>
        <v>3</v>
      </c>
      <c r="EQ154" s="86">
        <f t="shared" si="170"/>
        <v>3</v>
      </c>
      <c r="ER154" s="86">
        <f t="shared" si="171"/>
        <v>0.10000000000000053</v>
      </c>
      <c r="ES154" s="86">
        <f t="shared" si="172"/>
        <v>13.063945294843618</v>
      </c>
      <c r="ET154" s="86">
        <f t="shared" si="172"/>
        <v>3</v>
      </c>
      <c r="EU154" s="86">
        <f t="shared" si="172"/>
        <v>3</v>
      </c>
      <c r="EV154" s="86">
        <f t="shared" si="159"/>
        <v>13.063945294843618</v>
      </c>
      <c r="EW154" s="86">
        <f t="shared" si="160"/>
        <v>0.13778379803155374</v>
      </c>
      <c r="EX154" s="86">
        <f t="shared" si="161"/>
        <v>0.66824869791666663</v>
      </c>
      <c r="EY154" s="86">
        <f t="shared" si="162"/>
        <v>0.8</v>
      </c>
      <c r="EZ154" s="83">
        <f t="shared" si="173"/>
        <v>0.11022703842524301</v>
      </c>
      <c r="FA154" s="83">
        <f t="shared" si="163"/>
        <v>0.42767916666666672</v>
      </c>
      <c r="FB154" s="83">
        <f t="shared" si="164"/>
        <v>6</v>
      </c>
      <c r="FC154" s="84" t="s">
        <v>125</v>
      </c>
    </row>
    <row r="155" spans="1:159" ht="17.100000000000001" customHeight="1">
      <c r="A155" s="78" t="s">
        <v>1852</v>
      </c>
      <c r="B155" s="91" t="s">
        <v>1435</v>
      </c>
      <c r="C155" s="80" t="str">
        <f t="shared" si="150"/>
        <v>Nyoka, S.  2010.  Effects of fuel-reduction treatments on pollinators in a Pinyon-juniper woodland (Arizona). Ecological Restoration. 28(2): 119-121.</v>
      </c>
      <c r="D155" s="91" t="s">
        <v>1522</v>
      </c>
      <c r="E155" s="91">
        <v>2010</v>
      </c>
      <c r="F155" s="91" t="s">
        <v>1127</v>
      </c>
      <c r="G155" s="91" t="s">
        <v>1128</v>
      </c>
      <c r="H155" s="91" t="s">
        <v>1129</v>
      </c>
      <c r="I155" s="91" t="s">
        <v>1130</v>
      </c>
      <c r="J155" s="81" t="s">
        <v>1573</v>
      </c>
      <c r="K155" s="92" t="s">
        <v>1131</v>
      </c>
      <c r="L155" s="84" t="s">
        <v>101</v>
      </c>
      <c r="M155" s="93" t="s">
        <v>73</v>
      </c>
      <c r="N155" s="84" t="s">
        <v>389</v>
      </c>
      <c r="O155" s="84"/>
      <c r="P155" s="91" t="s">
        <v>16</v>
      </c>
      <c r="Q155" s="91" t="s">
        <v>61</v>
      </c>
      <c r="R155" s="91" t="s">
        <v>1132</v>
      </c>
      <c r="S155" s="91"/>
      <c r="T155" s="91" t="s">
        <v>269</v>
      </c>
      <c r="U155" s="91" t="s">
        <v>1438</v>
      </c>
      <c r="V155" s="91">
        <v>35.96</v>
      </c>
      <c r="W155" s="91">
        <v>-112.13</v>
      </c>
      <c r="X155" s="91" t="s">
        <v>1133</v>
      </c>
      <c r="Y155" s="99" t="s">
        <v>1991</v>
      </c>
      <c r="Z155" s="66" t="s">
        <v>2201</v>
      </c>
      <c r="AA155" s="95" t="s">
        <v>49</v>
      </c>
      <c r="AB155" s="81" t="s">
        <v>64</v>
      </c>
      <c r="AC155" s="84" t="s">
        <v>235</v>
      </c>
      <c r="AD155" s="84"/>
      <c r="AE155" s="84"/>
      <c r="AF155" s="84" t="s">
        <v>87</v>
      </c>
      <c r="AG155" s="84" t="s">
        <v>91</v>
      </c>
      <c r="AH155" s="84" t="s">
        <v>106</v>
      </c>
      <c r="AI155" s="84" t="s">
        <v>1134</v>
      </c>
      <c r="AJ155" s="86">
        <v>12</v>
      </c>
      <c r="AK155" s="86">
        <v>1</v>
      </c>
      <c r="AL155" s="86">
        <v>1</v>
      </c>
      <c r="AM155" s="84" t="s">
        <v>960</v>
      </c>
      <c r="AN155" s="84" t="s">
        <v>690</v>
      </c>
      <c r="AO155" s="84" t="s">
        <v>524</v>
      </c>
      <c r="AP155" s="68" t="s">
        <v>2228</v>
      </c>
      <c r="AQ155" s="84" t="s">
        <v>64</v>
      </c>
      <c r="AR155" s="86">
        <v>1</v>
      </c>
      <c r="AS155" s="87" t="s">
        <v>181</v>
      </c>
      <c r="AT155" s="86"/>
      <c r="AU155" s="87"/>
      <c r="AV155" s="88">
        <v>0.52173913043478259</v>
      </c>
      <c r="AW155" s="84" t="s">
        <v>1135</v>
      </c>
      <c r="AX155" s="84" t="s">
        <v>80</v>
      </c>
      <c r="AY155" s="86">
        <v>12</v>
      </c>
      <c r="AZ155" s="86">
        <v>1</v>
      </c>
      <c r="BA155" s="87" t="s">
        <v>181</v>
      </c>
      <c r="BB155" s="86"/>
      <c r="BC155" s="84" t="s">
        <v>1135</v>
      </c>
      <c r="BD155" s="93" t="s">
        <v>124</v>
      </c>
      <c r="BE155" s="84" t="s">
        <v>182</v>
      </c>
      <c r="BF155" s="149" t="s">
        <v>118</v>
      </c>
      <c r="BG155" s="84" t="s">
        <v>21</v>
      </c>
      <c r="BH155" s="84" t="s">
        <v>81</v>
      </c>
      <c r="BI155" s="84" t="s">
        <v>1095</v>
      </c>
      <c r="BJ155" s="89">
        <f>BK155/12</f>
        <v>1.9166666666666667</v>
      </c>
      <c r="BK155" s="84">
        <v>23</v>
      </c>
      <c r="BL155" s="84">
        <v>23</v>
      </c>
      <c r="BM155" s="88">
        <v>1.9166666666666667</v>
      </c>
      <c r="BN155" s="84" t="s">
        <v>389</v>
      </c>
      <c r="BO155" s="84" t="s">
        <v>693</v>
      </c>
      <c r="BP155" s="84" t="s">
        <v>64</v>
      </c>
      <c r="BQ155" s="84"/>
      <c r="BR155" s="84" t="s">
        <v>1136</v>
      </c>
      <c r="BS155" s="157" t="s">
        <v>2214</v>
      </c>
      <c r="BT155" s="84" t="s">
        <v>572</v>
      </c>
      <c r="BU155" s="67">
        <v>1.5703957827688639</v>
      </c>
      <c r="BV155" s="86">
        <v>0.14815362149688299</v>
      </c>
      <c r="BW155" s="90">
        <v>0.51321919951585993</v>
      </c>
      <c r="BX155" s="86">
        <v>12</v>
      </c>
      <c r="BY155" s="86">
        <v>12</v>
      </c>
      <c r="BZ155" s="84" t="s">
        <v>610</v>
      </c>
      <c r="CA155" s="84" t="s">
        <v>1614</v>
      </c>
      <c r="CB155" s="84" t="s">
        <v>80</v>
      </c>
      <c r="CC155" s="67">
        <v>0.73780082874937558</v>
      </c>
      <c r="CD155" s="86">
        <v>0.17489755493952952</v>
      </c>
      <c r="CE155" s="90">
        <v>0.60586290254966835</v>
      </c>
      <c r="CF155" s="86">
        <v>12</v>
      </c>
      <c r="CG155" s="86">
        <v>12</v>
      </c>
      <c r="CH155" s="84" t="s">
        <v>610</v>
      </c>
      <c r="CI155" s="84" t="s">
        <v>1614</v>
      </c>
      <c r="CJ155" s="84"/>
      <c r="CK155" s="86"/>
      <c r="CL155" s="86"/>
      <c r="CM155" s="86"/>
      <c r="CN155" s="86"/>
      <c r="CO155" s="86"/>
      <c r="CP155" s="84"/>
      <c r="CQ155" s="84"/>
      <c r="CR155" s="84"/>
      <c r="CS155" s="86"/>
      <c r="CT155" s="86"/>
      <c r="CU155" s="86"/>
      <c r="CV155" s="86"/>
      <c r="CW155" s="86"/>
      <c r="CX155" s="84"/>
      <c r="CY155" s="84"/>
      <c r="CZ155" s="84"/>
      <c r="DA155" s="82"/>
      <c r="DB155" s="82"/>
      <c r="DC155" s="82"/>
      <c r="DD155" s="82"/>
      <c r="DE155" s="82"/>
      <c r="DF155" s="84"/>
      <c r="DG155" s="84"/>
      <c r="DH155" s="84"/>
      <c r="DI155" s="82"/>
      <c r="DJ155" s="82"/>
      <c r="DK155" s="82"/>
      <c r="DL155" s="82"/>
      <c r="DM155" s="82"/>
      <c r="DN155" s="82"/>
      <c r="DO155" s="84"/>
      <c r="DP155" s="84"/>
      <c r="DQ155" s="82"/>
      <c r="DR155" s="82"/>
      <c r="DS155" s="82"/>
      <c r="DT155" s="82"/>
      <c r="DU155" s="82"/>
      <c r="DV155" s="84"/>
      <c r="DW155" s="84"/>
      <c r="DX155" s="84"/>
      <c r="DY155" s="86"/>
      <c r="DZ155" s="86"/>
      <c r="EA155" s="86"/>
      <c r="EB155" s="86"/>
      <c r="EC155" s="86"/>
      <c r="ED155" s="84"/>
      <c r="EE155" s="84"/>
      <c r="EF155" s="84"/>
      <c r="EG155" s="86"/>
      <c r="EH155" s="86"/>
      <c r="EI155" s="86"/>
      <c r="EJ155" s="86"/>
      <c r="EK155" s="86"/>
      <c r="EL155" s="84"/>
      <c r="EM155" s="84"/>
      <c r="EN155" s="86">
        <f t="shared" ref="EN155:EN171" si="174">BU155</f>
        <v>1.5703957827688639</v>
      </c>
      <c r="EO155" s="90">
        <f t="shared" ref="EO155:EO171" si="175">BW155</f>
        <v>0.51321919951585993</v>
      </c>
      <c r="EP155" s="86">
        <f t="shared" ref="EP155:EP171" si="176">BX155</f>
        <v>12</v>
      </c>
      <c r="EQ155" s="86">
        <f t="shared" ref="EQ155:EQ171" si="177">BY155</f>
        <v>12</v>
      </c>
      <c r="ER155" s="86">
        <f t="shared" ref="ER155:ER171" si="178">CC155</f>
        <v>0.73780082874937558</v>
      </c>
      <c r="ES155" s="90">
        <f t="shared" ref="ES155:ES171" si="179">CE155</f>
        <v>0.60586290254966835</v>
      </c>
      <c r="ET155" s="86">
        <f t="shared" ref="ET155:ET171" si="180">CF155</f>
        <v>12</v>
      </c>
      <c r="EU155" s="86">
        <f t="shared" ref="EU155:EU171" si="181">CG155</f>
        <v>12</v>
      </c>
      <c r="EV155" s="86">
        <f t="shared" si="159"/>
        <v>0.56145516447780985</v>
      </c>
      <c r="EW155" s="86">
        <f t="shared" si="160"/>
        <v>1.482923315513281</v>
      </c>
      <c r="EX155" s="86">
        <f t="shared" si="161"/>
        <v>0.21248044916026879</v>
      </c>
      <c r="EY155" s="86">
        <f t="shared" si="162"/>
        <v>0.96551724137931039</v>
      </c>
      <c r="EZ155" s="83">
        <f t="shared" si="173"/>
        <v>1.4317880287714437</v>
      </c>
      <c r="FA155" s="83">
        <f t="shared" si="163"/>
        <v>0.19807927721956095</v>
      </c>
      <c r="FB155" s="83">
        <f t="shared" si="164"/>
        <v>24</v>
      </c>
      <c r="FC155" s="84" t="s">
        <v>385</v>
      </c>
    </row>
    <row r="156" spans="1:159" s="82" customFormat="1" ht="17.100000000000001" customHeight="1">
      <c r="A156" s="78" t="s">
        <v>1796</v>
      </c>
      <c r="B156" s="79" t="s">
        <v>1925</v>
      </c>
      <c r="C156" s="80" t="str">
        <f t="shared" si="150"/>
        <v>Peterson, D. W., &amp; Reich, P. B.  2008.  Fire frequency and tree canopy structure influence plant species diversity in a forest-grassland ecotone. Plant Ecology. 194: 5-16.</v>
      </c>
      <c r="D156" s="79" t="s">
        <v>1468</v>
      </c>
      <c r="E156" s="81">
        <v>2008</v>
      </c>
      <c r="F156" s="79" t="s">
        <v>484</v>
      </c>
      <c r="G156" s="79" t="s">
        <v>485</v>
      </c>
      <c r="H156" s="81">
        <v>194</v>
      </c>
      <c r="I156" s="81" t="s">
        <v>486</v>
      </c>
      <c r="J156" s="79"/>
      <c r="K156" s="79" t="s">
        <v>487</v>
      </c>
      <c r="L156" s="82" t="s">
        <v>101</v>
      </c>
      <c r="M156" s="65" t="s">
        <v>73</v>
      </c>
      <c r="N156" s="63" t="s">
        <v>389</v>
      </c>
      <c r="O156" s="82" t="s">
        <v>758</v>
      </c>
      <c r="P156" s="81" t="s">
        <v>16</v>
      </c>
      <c r="Q156" s="79" t="s">
        <v>479</v>
      </c>
      <c r="R156" s="79" t="s">
        <v>488</v>
      </c>
      <c r="S156" s="79" t="s">
        <v>1559</v>
      </c>
      <c r="T156" s="79" t="s">
        <v>480</v>
      </c>
      <c r="U156" s="79" t="s">
        <v>481</v>
      </c>
      <c r="V156" s="81">
        <v>45.42</v>
      </c>
      <c r="W156" s="81">
        <v>-93.17</v>
      </c>
      <c r="X156" s="103"/>
      <c r="Y156" s="66" t="s">
        <v>1897</v>
      </c>
      <c r="Z156" s="66" t="s">
        <v>2203</v>
      </c>
      <c r="AA156" s="97" t="s">
        <v>555</v>
      </c>
      <c r="AB156" s="79" t="s">
        <v>64</v>
      </c>
      <c r="AC156" s="79" t="s">
        <v>64</v>
      </c>
      <c r="AD156" s="82" t="s">
        <v>1268</v>
      </c>
      <c r="AF156" s="82" t="s">
        <v>86</v>
      </c>
      <c r="AG156" s="82" t="s">
        <v>92</v>
      </c>
      <c r="AH156" s="82" t="s">
        <v>106</v>
      </c>
      <c r="AI156" s="82" t="s">
        <v>93</v>
      </c>
      <c r="AJ156" s="112">
        <v>2</v>
      </c>
      <c r="AK156" s="86" t="s">
        <v>764</v>
      </c>
      <c r="AL156" s="86" t="s">
        <v>764</v>
      </c>
      <c r="AM156" s="84" t="s">
        <v>775</v>
      </c>
      <c r="AN156" s="84" t="s">
        <v>525</v>
      </c>
      <c r="AO156" s="84" t="s">
        <v>526</v>
      </c>
      <c r="AP156" s="68" t="s">
        <v>2227</v>
      </c>
      <c r="AQ156" s="82" t="s">
        <v>94</v>
      </c>
      <c r="AR156" s="86" t="s">
        <v>64</v>
      </c>
      <c r="AS156" s="86" t="s">
        <v>193</v>
      </c>
      <c r="AT156" s="86">
        <v>6</v>
      </c>
      <c r="AU156" s="90">
        <v>33</v>
      </c>
      <c r="AV156" s="88">
        <v>0.25</v>
      </c>
      <c r="AW156" s="82" t="s">
        <v>765</v>
      </c>
      <c r="AX156" s="82" t="s">
        <v>80</v>
      </c>
      <c r="AY156" s="86">
        <v>6</v>
      </c>
      <c r="AZ156" s="86" t="s">
        <v>64</v>
      </c>
      <c r="BA156" s="86" t="s">
        <v>193</v>
      </c>
      <c r="BB156" s="86">
        <v>6</v>
      </c>
      <c r="BC156" s="82" t="s">
        <v>1242</v>
      </c>
      <c r="BD156" s="65" t="s">
        <v>124</v>
      </c>
      <c r="BE156" s="82" t="s">
        <v>182</v>
      </c>
      <c r="BF156" s="83" t="s">
        <v>112</v>
      </c>
      <c r="BG156" s="82" t="s">
        <v>21</v>
      </c>
      <c r="BH156" s="82" t="s">
        <v>22</v>
      </c>
      <c r="BI156" s="84" t="s">
        <v>489</v>
      </c>
      <c r="BJ156" s="89">
        <f t="shared" ref="BJ156:BJ171" si="182">198/12</f>
        <v>16.5</v>
      </c>
      <c r="BK156" s="84" t="s">
        <v>1238</v>
      </c>
      <c r="BL156" s="84" t="s">
        <v>1239</v>
      </c>
      <c r="BM156" s="88">
        <v>1.5</v>
      </c>
      <c r="BN156" s="82" t="s">
        <v>379</v>
      </c>
      <c r="BO156" s="82" t="s">
        <v>361</v>
      </c>
      <c r="BP156" s="63" t="s">
        <v>64</v>
      </c>
      <c r="BQ156" s="63" t="s">
        <v>579</v>
      </c>
      <c r="BR156" s="82" t="s">
        <v>771</v>
      </c>
      <c r="BS156" s="82" t="s">
        <v>2177</v>
      </c>
      <c r="BT156" s="82" t="s">
        <v>760</v>
      </c>
      <c r="BU156" s="90">
        <v>4</v>
      </c>
      <c r="BV156" s="90">
        <v>0</v>
      </c>
      <c r="BW156" s="90">
        <v>0</v>
      </c>
      <c r="BX156" s="86">
        <v>2</v>
      </c>
      <c r="BY156" s="86">
        <v>2</v>
      </c>
      <c r="BZ156" s="82" t="s">
        <v>774</v>
      </c>
      <c r="CA156" s="82" t="s">
        <v>1240</v>
      </c>
      <c r="CB156" s="82" t="s">
        <v>80</v>
      </c>
      <c r="CC156" s="90">
        <v>6.75</v>
      </c>
      <c r="CD156" s="90">
        <v>1.08397416943394</v>
      </c>
      <c r="CE156" s="90">
        <v>1.08397416943394</v>
      </c>
      <c r="CF156" s="86">
        <v>6</v>
      </c>
      <c r="CG156" s="86">
        <v>6</v>
      </c>
      <c r="CH156" s="82" t="s">
        <v>763</v>
      </c>
      <c r="CK156" s="86"/>
      <c r="CL156" s="86"/>
      <c r="CM156" s="86"/>
      <c r="CN156" s="86"/>
      <c r="CO156" s="86"/>
      <c r="CS156" s="86"/>
      <c r="CT156" s="86"/>
      <c r="CU156" s="86"/>
      <c r="CV156" s="86"/>
      <c r="CW156" s="86"/>
      <c r="DY156" s="86"/>
      <c r="DZ156" s="86"/>
      <c r="EA156" s="86"/>
      <c r="EB156" s="86"/>
      <c r="EC156" s="86"/>
      <c r="EG156" s="86"/>
      <c r="EH156" s="86"/>
      <c r="EI156" s="86"/>
      <c r="EJ156" s="86"/>
      <c r="EK156" s="86"/>
      <c r="EN156" s="86">
        <f t="shared" si="174"/>
        <v>4</v>
      </c>
      <c r="EO156" s="90">
        <f t="shared" si="175"/>
        <v>0</v>
      </c>
      <c r="EP156" s="86">
        <f t="shared" si="176"/>
        <v>2</v>
      </c>
      <c r="EQ156" s="86">
        <f t="shared" si="177"/>
        <v>2</v>
      </c>
      <c r="ER156" s="86">
        <f t="shared" si="178"/>
        <v>6.75</v>
      </c>
      <c r="ES156" s="90">
        <f t="shared" si="179"/>
        <v>1.08397416943394</v>
      </c>
      <c r="ET156" s="86">
        <f t="shared" si="180"/>
        <v>6</v>
      </c>
      <c r="EU156" s="86">
        <f t="shared" si="181"/>
        <v>6</v>
      </c>
      <c r="EV156" s="86">
        <f t="shared" si="159"/>
        <v>0.98952850725315977</v>
      </c>
      <c r="EW156" s="86">
        <f t="shared" si="160"/>
        <v>-2.7791013395195123</v>
      </c>
      <c r="EX156" s="86">
        <f t="shared" si="161"/>
        <v>1.1493794326241134</v>
      </c>
      <c r="EY156" s="86">
        <f t="shared" si="162"/>
        <v>0.86956521739130432</v>
      </c>
      <c r="EZ156" s="83">
        <f t="shared" si="173"/>
        <v>-2.4166098604517496</v>
      </c>
      <c r="FA156" s="83">
        <f t="shared" si="163"/>
        <v>0.86909597929989668</v>
      </c>
      <c r="FB156" s="83">
        <f t="shared" si="164"/>
        <v>8</v>
      </c>
      <c r="FC156" s="63" t="s">
        <v>125</v>
      </c>
    </row>
    <row r="157" spans="1:159" s="82" customFormat="1" ht="17.100000000000001" customHeight="1">
      <c r="A157" s="78" t="s">
        <v>1796</v>
      </c>
      <c r="B157" s="79" t="s">
        <v>1926</v>
      </c>
      <c r="C157" s="80" t="str">
        <f t="shared" si="150"/>
        <v>Peterson, D. W., &amp; Reich, P. B.  2008.  Fire frequency and tree canopy structure influence plant species diversity in a forest-grassland ecotone. Plant Ecology. 194: 5-16.</v>
      </c>
      <c r="D157" s="79" t="s">
        <v>1468</v>
      </c>
      <c r="E157" s="81">
        <v>2008</v>
      </c>
      <c r="F157" s="79" t="s">
        <v>484</v>
      </c>
      <c r="G157" s="79" t="s">
        <v>485</v>
      </c>
      <c r="H157" s="81">
        <v>194</v>
      </c>
      <c r="I157" s="81" t="s">
        <v>486</v>
      </c>
      <c r="J157" s="79"/>
      <c r="K157" s="79" t="s">
        <v>487</v>
      </c>
      <c r="L157" s="82" t="s">
        <v>101</v>
      </c>
      <c r="M157" s="65" t="s">
        <v>73</v>
      </c>
      <c r="N157" s="63" t="s">
        <v>389</v>
      </c>
      <c r="P157" s="81" t="s">
        <v>16</v>
      </c>
      <c r="Q157" s="79" t="s">
        <v>479</v>
      </c>
      <c r="R157" s="79" t="s">
        <v>488</v>
      </c>
      <c r="S157" s="79" t="s">
        <v>1559</v>
      </c>
      <c r="T157" s="79" t="s">
        <v>480</v>
      </c>
      <c r="U157" s="79" t="s">
        <v>481</v>
      </c>
      <c r="V157" s="81">
        <v>45.42</v>
      </c>
      <c r="W157" s="81">
        <v>-93.17</v>
      </c>
      <c r="X157" s="103"/>
      <c r="Y157" s="66" t="s">
        <v>1897</v>
      </c>
      <c r="Z157" s="66" t="s">
        <v>2203</v>
      </c>
      <c r="AA157" s="97" t="s">
        <v>555</v>
      </c>
      <c r="AB157" s="79" t="s">
        <v>64</v>
      </c>
      <c r="AC157" s="79" t="s">
        <v>64</v>
      </c>
      <c r="AD157" s="82" t="s">
        <v>1268</v>
      </c>
      <c r="AF157" s="82" t="s">
        <v>86</v>
      </c>
      <c r="AG157" s="82" t="s">
        <v>92</v>
      </c>
      <c r="AH157" s="82" t="s">
        <v>106</v>
      </c>
      <c r="AI157" s="82" t="s">
        <v>93</v>
      </c>
      <c r="AJ157" s="112">
        <v>9</v>
      </c>
      <c r="AK157" s="120" t="s">
        <v>766</v>
      </c>
      <c r="AL157" s="120" t="s">
        <v>766</v>
      </c>
      <c r="AM157" s="84" t="s">
        <v>775</v>
      </c>
      <c r="AN157" s="84" t="s">
        <v>525</v>
      </c>
      <c r="AO157" s="84" t="s">
        <v>526</v>
      </c>
      <c r="AP157" s="68" t="s">
        <v>2227</v>
      </c>
      <c r="AQ157" s="82" t="s">
        <v>94</v>
      </c>
      <c r="AR157" s="86" t="s">
        <v>64</v>
      </c>
      <c r="AS157" s="86" t="s">
        <v>193</v>
      </c>
      <c r="AT157" s="86">
        <v>6</v>
      </c>
      <c r="AU157" s="90">
        <v>33</v>
      </c>
      <c r="AV157" s="88">
        <v>0.375</v>
      </c>
      <c r="AW157" s="82" t="s">
        <v>1241</v>
      </c>
      <c r="AX157" s="82" t="s">
        <v>80</v>
      </c>
      <c r="AY157" s="86">
        <v>6</v>
      </c>
      <c r="AZ157" s="86" t="s">
        <v>64</v>
      </c>
      <c r="BA157" s="86" t="s">
        <v>193</v>
      </c>
      <c r="BB157" s="86">
        <v>6</v>
      </c>
      <c r="BC157" s="82" t="s">
        <v>1242</v>
      </c>
      <c r="BD157" s="65" t="s">
        <v>124</v>
      </c>
      <c r="BE157" s="82" t="s">
        <v>182</v>
      </c>
      <c r="BF157" s="83" t="s">
        <v>112</v>
      </c>
      <c r="BG157" s="82" t="s">
        <v>21</v>
      </c>
      <c r="BH157" s="82" t="s">
        <v>22</v>
      </c>
      <c r="BI157" s="84" t="s">
        <v>489</v>
      </c>
      <c r="BJ157" s="89">
        <f t="shared" si="182"/>
        <v>16.5</v>
      </c>
      <c r="BK157" s="84" t="s">
        <v>1238</v>
      </c>
      <c r="BL157" s="84" t="s">
        <v>1239</v>
      </c>
      <c r="BM157" s="88">
        <v>1.5</v>
      </c>
      <c r="BN157" s="82" t="s">
        <v>379</v>
      </c>
      <c r="BO157" s="82" t="s">
        <v>361</v>
      </c>
      <c r="BP157" s="63" t="s">
        <v>64</v>
      </c>
      <c r="BQ157" s="63" t="s">
        <v>579</v>
      </c>
      <c r="BR157" s="82" t="s">
        <v>771</v>
      </c>
      <c r="BS157" s="82" t="s">
        <v>2177</v>
      </c>
      <c r="BT157" s="82" t="s">
        <v>759</v>
      </c>
      <c r="BU157" s="90">
        <v>2.7222222222222223</v>
      </c>
      <c r="BV157" s="90">
        <v>0.75461542817811822</v>
      </c>
      <c r="BW157" s="90">
        <v>0.87337786146025531</v>
      </c>
      <c r="BX157" s="86">
        <v>9</v>
      </c>
      <c r="BY157" s="86">
        <v>9</v>
      </c>
      <c r="BZ157" s="82" t="s">
        <v>774</v>
      </c>
      <c r="CB157" s="82" t="s">
        <v>80</v>
      </c>
      <c r="CC157" s="90">
        <v>6.75</v>
      </c>
      <c r="CD157" s="90">
        <v>1.08397416943394</v>
      </c>
      <c r="CE157" s="90">
        <v>1.08397416943394</v>
      </c>
      <c r="CF157" s="86">
        <v>6</v>
      </c>
      <c r="CG157" s="86">
        <v>6</v>
      </c>
      <c r="CH157" s="82" t="s">
        <v>763</v>
      </c>
      <c r="CK157" s="86"/>
      <c r="CL157" s="86"/>
      <c r="CM157" s="86"/>
      <c r="CN157" s="86"/>
      <c r="CO157" s="86"/>
      <c r="CS157" s="86"/>
      <c r="CT157" s="86"/>
      <c r="CU157" s="86"/>
      <c r="CV157" s="86"/>
      <c r="CW157" s="86"/>
      <c r="DY157" s="86"/>
      <c r="DZ157" s="86"/>
      <c r="EA157" s="86"/>
      <c r="EB157" s="86"/>
      <c r="EC157" s="86"/>
      <c r="EG157" s="86"/>
      <c r="EH157" s="86"/>
      <c r="EI157" s="86"/>
      <c r="EJ157" s="86"/>
      <c r="EK157" s="86"/>
      <c r="EN157" s="86">
        <f t="shared" si="174"/>
        <v>2.7222222222222223</v>
      </c>
      <c r="EO157" s="90">
        <f t="shared" si="175"/>
        <v>0.87337786146025531</v>
      </c>
      <c r="EP157" s="86">
        <f t="shared" si="176"/>
        <v>9</v>
      </c>
      <c r="EQ157" s="86">
        <f t="shared" si="177"/>
        <v>9</v>
      </c>
      <c r="ER157" s="86">
        <f t="shared" si="178"/>
        <v>6.75</v>
      </c>
      <c r="ES157" s="90">
        <f t="shared" si="179"/>
        <v>1.08397416943394</v>
      </c>
      <c r="ET157" s="86">
        <f t="shared" si="180"/>
        <v>6</v>
      </c>
      <c r="EU157" s="86">
        <f t="shared" si="181"/>
        <v>6</v>
      </c>
      <c r="EV157" s="86">
        <f t="shared" si="159"/>
        <v>0.95986021062007976</v>
      </c>
      <c r="EW157" s="86">
        <f t="shared" si="160"/>
        <v>-4.1962128789313926</v>
      </c>
      <c r="EX157" s="86">
        <f t="shared" si="161"/>
        <v>0.8647178619547673</v>
      </c>
      <c r="EY157" s="86">
        <f t="shared" si="162"/>
        <v>0.94117647058823528</v>
      </c>
      <c r="EZ157" s="83">
        <f t="shared" si="173"/>
        <v>-3.9493768272295457</v>
      </c>
      <c r="FA157" s="83">
        <f t="shared" si="163"/>
        <v>0.76597845211218141</v>
      </c>
      <c r="FB157" s="83">
        <f t="shared" si="164"/>
        <v>15</v>
      </c>
      <c r="FC157" s="63" t="s">
        <v>125</v>
      </c>
    </row>
    <row r="158" spans="1:159" ht="17.100000000000001" customHeight="1">
      <c r="A158" s="78" t="s">
        <v>1796</v>
      </c>
      <c r="B158" s="79" t="s">
        <v>1927</v>
      </c>
      <c r="C158" s="80" t="str">
        <f t="shared" si="150"/>
        <v>Peterson, D. W., &amp; Reich, P. B.  2008.  Fire frequency and tree canopy structure influence plant species diversity in a forest-grassland ecotone. Plant Ecology. 194: 5-16.</v>
      </c>
      <c r="D158" s="79" t="s">
        <v>1468</v>
      </c>
      <c r="E158" s="81">
        <v>2008</v>
      </c>
      <c r="F158" s="79" t="s">
        <v>484</v>
      </c>
      <c r="G158" s="79" t="s">
        <v>485</v>
      </c>
      <c r="H158" s="81">
        <v>194</v>
      </c>
      <c r="I158" s="81" t="s">
        <v>486</v>
      </c>
      <c r="J158" s="79"/>
      <c r="K158" s="79" t="s">
        <v>487</v>
      </c>
      <c r="L158" s="82" t="s">
        <v>101</v>
      </c>
      <c r="M158" s="65" t="s">
        <v>73</v>
      </c>
      <c r="N158" s="63" t="s">
        <v>389</v>
      </c>
      <c r="O158" s="82"/>
      <c r="P158" s="81" t="s">
        <v>16</v>
      </c>
      <c r="Q158" s="79" t="s">
        <v>479</v>
      </c>
      <c r="R158" s="79" t="s">
        <v>488</v>
      </c>
      <c r="S158" s="79" t="s">
        <v>1559</v>
      </c>
      <c r="T158" s="79" t="s">
        <v>480</v>
      </c>
      <c r="U158" s="79" t="s">
        <v>481</v>
      </c>
      <c r="V158" s="81">
        <v>45.42</v>
      </c>
      <c r="W158" s="81">
        <v>-93.17</v>
      </c>
      <c r="X158" s="103"/>
      <c r="Y158" s="66" t="s">
        <v>1897</v>
      </c>
      <c r="Z158" s="66" t="s">
        <v>2203</v>
      </c>
      <c r="AA158" s="97" t="s">
        <v>555</v>
      </c>
      <c r="AB158" s="79" t="s">
        <v>64</v>
      </c>
      <c r="AC158" s="79" t="s">
        <v>64</v>
      </c>
      <c r="AD158" s="82" t="s">
        <v>1268</v>
      </c>
      <c r="AE158" s="82"/>
      <c r="AF158" s="82" t="s">
        <v>86</v>
      </c>
      <c r="AG158" s="82" t="s">
        <v>92</v>
      </c>
      <c r="AH158" s="82" t="s">
        <v>106</v>
      </c>
      <c r="AI158" s="82" t="s">
        <v>93</v>
      </c>
      <c r="AJ158" s="112">
        <v>2</v>
      </c>
      <c r="AK158" s="120" t="s">
        <v>767</v>
      </c>
      <c r="AL158" s="120" t="s">
        <v>767</v>
      </c>
      <c r="AM158" s="84" t="s">
        <v>775</v>
      </c>
      <c r="AN158" s="84" t="s">
        <v>525</v>
      </c>
      <c r="AO158" s="84" t="s">
        <v>526</v>
      </c>
      <c r="AP158" s="68" t="s">
        <v>2227</v>
      </c>
      <c r="AQ158" s="82" t="s">
        <v>94</v>
      </c>
      <c r="AR158" s="86" t="s">
        <v>64</v>
      </c>
      <c r="AS158" s="86" t="s">
        <v>193</v>
      </c>
      <c r="AT158" s="86">
        <v>6</v>
      </c>
      <c r="AU158" s="90">
        <v>33</v>
      </c>
      <c r="AV158" s="88">
        <v>0.625</v>
      </c>
      <c r="AW158" s="82" t="s">
        <v>765</v>
      </c>
      <c r="AX158" s="82" t="s">
        <v>80</v>
      </c>
      <c r="AY158" s="86">
        <v>6</v>
      </c>
      <c r="AZ158" s="86" t="s">
        <v>64</v>
      </c>
      <c r="BA158" s="86" t="s">
        <v>193</v>
      </c>
      <c r="BB158" s="86">
        <v>6</v>
      </c>
      <c r="BC158" s="82" t="s">
        <v>1242</v>
      </c>
      <c r="BD158" s="65" t="s">
        <v>124</v>
      </c>
      <c r="BE158" s="82" t="s">
        <v>182</v>
      </c>
      <c r="BF158" s="137" t="s">
        <v>112</v>
      </c>
      <c r="BG158" s="82" t="s">
        <v>21</v>
      </c>
      <c r="BH158" s="82" t="s">
        <v>22</v>
      </c>
      <c r="BI158" s="84" t="s">
        <v>489</v>
      </c>
      <c r="BJ158" s="89">
        <f t="shared" si="182"/>
        <v>16.5</v>
      </c>
      <c r="BK158" s="84" t="s">
        <v>1238</v>
      </c>
      <c r="BL158" s="84" t="s">
        <v>1239</v>
      </c>
      <c r="BM158" s="88">
        <v>1.5</v>
      </c>
      <c r="BN158" s="82" t="s">
        <v>379</v>
      </c>
      <c r="BO158" s="82" t="s">
        <v>361</v>
      </c>
      <c r="BP158" s="63" t="s">
        <v>64</v>
      </c>
      <c r="BQ158" s="63" t="s">
        <v>579</v>
      </c>
      <c r="BR158" s="82" t="s">
        <v>771</v>
      </c>
      <c r="BS158" s="82" t="s">
        <v>2177</v>
      </c>
      <c r="BT158" s="82" t="s">
        <v>761</v>
      </c>
      <c r="BU158" s="90">
        <v>2</v>
      </c>
      <c r="BV158" s="90">
        <v>0</v>
      </c>
      <c r="BW158" s="90">
        <v>0</v>
      </c>
      <c r="BX158" s="86">
        <v>2</v>
      </c>
      <c r="BY158" s="86">
        <v>2</v>
      </c>
      <c r="BZ158" s="82" t="s">
        <v>774</v>
      </c>
      <c r="CA158" s="82"/>
      <c r="CB158" s="82" t="s">
        <v>80</v>
      </c>
      <c r="CC158" s="90">
        <v>6.75</v>
      </c>
      <c r="CD158" s="90">
        <v>1.08397416943394</v>
      </c>
      <c r="CE158" s="90">
        <v>1.08397416943394</v>
      </c>
      <c r="CF158" s="86">
        <v>6</v>
      </c>
      <c r="CG158" s="86">
        <v>6</v>
      </c>
      <c r="CH158" s="82" t="s">
        <v>763</v>
      </c>
      <c r="CI158" s="82"/>
      <c r="CJ158" s="82"/>
      <c r="CK158" s="86"/>
      <c r="CL158" s="86"/>
      <c r="CM158" s="86"/>
      <c r="CN158" s="86"/>
      <c r="CO158" s="86"/>
      <c r="CP158" s="82"/>
      <c r="CQ158" s="82"/>
      <c r="CR158" s="82"/>
      <c r="CS158" s="86"/>
      <c r="CT158" s="86"/>
      <c r="CU158" s="86"/>
      <c r="CV158" s="86"/>
      <c r="CW158" s="86"/>
      <c r="CX158" s="82"/>
      <c r="CY158" s="82"/>
      <c r="CZ158" s="82"/>
      <c r="DA158" s="82"/>
      <c r="DB158" s="82"/>
      <c r="DC158" s="82"/>
      <c r="DD158" s="82"/>
      <c r="DE158" s="82"/>
      <c r="DF158" s="82"/>
      <c r="DG158" s="82"/>
      <c r="DH158" s="82"/>
      <c r="DI158" s="82"/>
      <c r="DJ158" s="82"/>
      <c r="DK158" s="82"/>
      <c r="DL158" s="82"/>
      <c r="DM158" s="82"/>
      <c r="DN158" s="82"/>
      <c r="DO158" s="82"/>
      <c r="DP158" s="82"/>
      <c r="DQ158" s="82"/>
      <c r="DR158" s="82"/>
      <c r="DS158" s="82"/>
      <c r="DT158" s="82"/>
      <c r="DU158" s="82"/>
      <c r="DV158" s="82"/>
      <c r="DW158" s="82"/>
      <c r="DX158" s="82"/>
      <c r="DY158" s="86"/>
      <c r="DZ158" s="86"/>
      <c r="EA158" s="86"/>
      <c r="EB158" s="86"/>
      <c r="EC158" s="86"/>
      <c r="ED158" s="82"/>
      <c r="EE158" s="82"/>
      <c r="EF158" s="82"/>
      <c r="EG158" s="86"/>
      <c r="EH158" s="86"/>
      <c r="EI158" s="86"/>
      <c r="EJ158" s="86"/>
      <c r="EK158" s="86"/>
      <c r="EL158" s="82"/>
      <c r="EM158" s="82"/>
      <c r="EN158" s="86">
        <f t="shared" si="174"/>
        <v>2</v>
      </c>
      <c r="EO158" s="90">
        <f t="shared" si="175"/>
        <v>0</v>
      </c>
      <c r="EP158" s="86">
        <f t="shared" si="176"/>
        <v>2</v>
      </c>
      <c r="EQ158" s="86">
        <f t="shared" si="177"/>
        <v>2</v>
      </c>
      <c r="ER158" s="86">
        <f t="shared" si="178"/>
        <v>6.75</v>
      </c>
      <c r="ES158" s="90">
        <f t="shared" si="179"/>
        <v>1.08397416943394</v>
      </c>
      <c r="ET158" s="86">
        <f t="shared" si="180"/>
        <v>6</v>
      </c>
      <c r="EU158" s="86">
        <f t="shared" si="181"/>
        <v>6</v>
      </c>
      <c r="EV158" s="86">
        <f t="shared" si="159"/>
        <v>0.98952850725315977</v>
      </c>
      <c r="EW158" s="86">
        <f t="shared" si="160"/>
        <v>-4.800265950079158</v>
      </c>
      <c r="EX158" s="86">
        <f t="shared" si="161"/>
        <v>2.1068262411347516</v>
      </c>
      <c r="EY158" s="86">
        <f t="shared" si="162"/>
        <v>0.86956521739130432</v>
      </c>
      <c r="EZ158" s="83">
        <f t="shared" si="173"/>
        <v>-4.1741443044166591</v>
      </c>
      <c r="FA158" s="83">
        <f t="shared" si="163"/>
        <v>1.5930633203287348</v>
      </c>
      <c r="FB158" s="83">
        <f t="shared" si="164"/>
        <v>8</v>
      </c>
      <c r="FC158" s="63" t="s">
        <v>125</v>
      </c>
    </row>
    <row r="159" spans="1:159" ht="17.100000000000001" customHeight="1">
      <c r="A159" s="78" t="s">
        <v>1796</v>
      </c>
      <c r="B159" s="79" t="s">
        <v>1928</v>
      </c>
      <c r="C159" s="80" t="str">
        <f t="shared" si="150"/>
        <v>Peterson, D. W., &amp; Reich, P. B.  2008.  Fire frequency and tree canopy structure influence plant species diversity in a forest-grassland ecotone. Plant Ecology. 194: 5-16.</v>
      </c>
      <c r="D159" s="79" t="s">
        <v>1468</v>
      </c>
      <c r="E159" s="81">
        <v>2008</v>
      </c>
      <c r="F159" s="79" t="s">
        <v>484</v>
      </c>
      <c r="G159" s="79" t="s">
        <v>485</v>
      </c>
      <c r="H159" s="81">
        <v>194</v>
      </c>
      <c r="I159" s="81" t="s">
        <v>486</v>
      </c>
      <c r="J159" s="79"/>
      <c r="K159" s="79" t="s">
        <v>487</v>
      </c>
      <c r="L159" s="82" t="s">
        <v>101</v>
      </c>
      <c r="M159" s="65" t="s">
        <v>73</v>
      </c>
      <c r="N159" s="63" t="s">
        <v>389</v>
      </c>
      <c r="O159" s="82"/>
      <c r="P159" s="81" t="s">
        <v>16</v>
      </c>
      <c r="Q159" s="79" t="s">
        <v>479</v>
      </c>
      <c r="R159" s="79" t="s">
        <v>488</v>
      </c>
      <c r="S159" s="79" t="s">
        <v>1559</v>
      </c>
      <c r="T159" s="79" t="s">
        <v>480</v>
      </c>
      <c r="U159" s="79" t="s">
        <v>481</v>
      </c>
      <c r="V159" s="81">
        <v>45.42</v>
      </c>
      <c r="W159" s="81">
        <v>-93.17</v>
      </c>
      <c r="X159" s="103"/>
      <c r="Y159" s="66" t="s">
        <v>1897</v>
      </c>
      <c r="Z159" s="66" t="s">
        <v>2203</v>
      </c>
      <c r="AA159" s="97" t="s">
        <v>555</v>
      </c>
      <c r="AB159" s="79" t="s">
        <v>64</v>
      </c>
      <c r="AC159" s="79" t="s">
        <v>64</v>
      </c>
      <c r="AD159" s="82" t="s">
        <v>1268</v>
      </c>
      <c r="AE159" s="82"/>
      <c r="AF159" s="82" t="s">
        <v>86</v>
      </c>
      <c r="AG159" s="82" t="s">
        <v>92</v>
      </c>
      <c r="AH159" s="82" t="s">
        <v>106</v>
      </c>
      <c r="AI159" s="82" t="s">
        <v>93</v>
      </c>
      <c r="AJ159" s="112">
        <v>3</v>
      </c>
      <c r="AK159" s="120" t="s">
        <v>768</v>
      </c>
      <c r="AL159" s="120" t="s">
        <v>768</v>
      </c>
      <c r="AM159" s="84" t="s">
        <v>775</v>
      </c>
      <c r="AN159" s="84" t="s">
        <v>525</v>
      </c>
      <c r="AO159" s="84" t="s">
        <v>526</v>
      </c>
      <c r="AP159" s="68" t="s">
        <v>2227</v>
      </c>
      <c r="AQ159" s="82" t="s">
        <v>94</v>
      </c>
      <c r="AR159" s="86" t="s">
        <v>64</v>
      </c>
      <c r="AS159" s="86" t="s">
        <v>193</v>
      </c>
      <c r="AT159" s="86">
        <v>6</v>
      </c>
      <c r="AU159" s="90">
        <v>33</v>
      </c>
      <c r="AV159" s="88">
        <v>0.875</v>
      </c>
      <c r="AW159" s="82" t="s">
        <v>1243</v>
      </c>
      <c r="AX159" s="82" t="s">
        <v>80</v>
      </c>
      <c r="AY159" s="86">
        <v>6</v>
      </c>
      <c r="AZ159" s="86" t="s">
        <v>64</v>
      </c>
      <c r="BA159" s="86" t="s">
        <v>193</v>
      </c>
      <c r="BB159" s="86">
        <v>6</v>
      </c>
      <c r="BC159" s="82" t="s">
        <v>1242</v>
      </c>
      <c r="BD159" s="65" t="s">
        <v>124</v>
      </c>
      <c r="BE159" s="82" t="s">
        <v>182</v>
      </c>
      <c r="BF159" s="137" t="s">
        <v>112</v>
      </c>
      <c r="BG159" s="82" t="s">
        <v>21</v>
      </c>
      <c r="BH159" s="82" t="s">
        <v>22</v>
      </c>
      <c r="BI159" s="84" t="s">
        <v>489</v>
      </c>
      <c r="BJ159" s="89">
        <f t="shared" si="182"/>
        <v>16.5</v>
      </c>
      <c r="BK159" s="84" t="s">
        <v>1238</v>
      </c>
      <c r="BL159" s="84" t="s">
        <v>1239</v>
      </c>
      <c r="BM159" s="88">
        <v>1.5</v>
      </c>
      <c r="BN159" s="82" t="s">
        <v>379</v>
      </c>
      <c r="BO159" s="82" t="s">
        <v>361</v>
      </c>
      <c r="BP159" s="63" t="s">
        <v>64</v>
      </c>
      <c r="BQ159" s="63" t="s">
        <v>579</v>
      </c>
      <c r="BR159" s="82" t="s">
        <v>771</v>
      </c>
      <c r="BS159" s="82" t="s">
        <v>2177</v>
      </c>
      <c r="BT159" s="82" t="s">
        <v>762</v>
      </c>
      <c r="BU159" s="90">
        <v>2</v>
      </c>
      <c r="BV159" s="90">
        <v>0</v>
      </c>
      <c r="BW159" s="90">
        <v>0</v>
      </c>
      <c r="BX159" s="86">
        <v>2</v>
      </c>
      <c r="BY159" s="86">
        <v>2</v>
      </c>
      <c r="BZ159" s="82" t="s">
        <v>774</v>
      </c>
      <c r="CA159" s="82"/>
      <c r="CB159" s="82" t="s">
        <v>80</v>
      </c>
      <c r="CC159" s="90">
        <v>6.75</v>
      </c>
      <c r="CD159" s="90">
        <v>1.08397416943394</v>
      </c>
      <c r="CE159" s="90">
        <v>1.08397416943394</v>
      </c>
      <c r="CF159" s="86">
        <v>6</v>
      </c>
      <c r="CG159" s="86">
        <v>6</v>
      </c>
      <c r="CH159" s="82" t="s">
        <v>763</v>
      </c>
      <c r="CI159" s="82"/>
      <c r="CJ159" s="82"/>
      <c r="CK159" s="86"/>
      <c r="CL159" s="86"/>
      <c r="CM159" s="86"/>
      <c r="CN159" s="86"/>
      <c r="CO159" s="86"/>
      <c r="CP159" s="82"/>
      <c r="CQ159" s="82"/>
      <c r="CR159" s="82"/>
      <c r="CS159" s="86"/>
      <c r="CT159" s="86"/>
      <c r="CU159" s="86"/>
      <c r="CV159" s="86"/>
      <c r="CW159" s="86"/>
      <c r="CX159" s="82"/>
      <c r="CY159" s="82"/>
      <c r="CZ159" s="82"/>
      <c r="DA159" s="82"/>
      <c r="DB159" s="82"/>
      <c r="DC159" s="82"/>
      <c r="DD159" s="82"/>
      <c r="DE159" s="82"/>
      <c r="DF159" s="82"/>
      <c r="DG159" s="82"/>
      <c r="DH159" s="82"/>
      <c r="DI159" s="82"/>
      <c r="DJ159" s="82"/>
      <c r="DK159" s="82"/>
      <c r="DL159" s="82"/>
      <c r="DM159" s="82"/>
      <c r="DN159" s="82"/>
      <c r="DO159" s="82"/>
      <c r="DP159" s="82"/>
      <c r="DQ159" s="82"/>
      <c r="DR159" s="82"/>
      <c r="DS159" s="82"/>
      <c r="DT159" s="82"/>
      <c r="DU159" s="82"/>
      <c r="DV159" s="82"/>
      <c r="DW159" s="82"/>
      <c r="DX159" s="82"/>
      <c r="DY159" s="86"/>
      <c r="DZ159" s="86"/>
      <c r="EA159" s="86"/>
      <c r="EB159" s="86"/>
      <c r="EC159" s="86"/>
      <c r="ED159" s="82"/>
      <c r="EE159" s="82"/>
      <c r="EF159" s="82"/>
      <c r="EG159" s="86"/>
      <c r="EH159" s="86"/>
      <c r="EI159" s="86"/>
      <c r="EJ159" s="86"/>
      <c r="EK159" s="86"/>
      <c r="EL159" s="82"/>
      <c r="EM159" s="82"/>
      <c r="EN159" s="86">
        <f t="shared" si="174"/>
        <v>2</v>
      </c>
      <c r="EO159" s="90">
        <f t="shared" si="175"/>
        <v>0</v>
      </c>
      <c r="EP159" s="86">
        <f t="shared" si="176"/>
        <v>2</v>
      </c>
      <c r="EQ159" s="86">
        <f t="shared" si="177"/>
        <v>2</v>
      </c>
      <c r="ER159" s="86">
        <f t="shared" si="178"/>
        <v>6.75</v>
      </c>
      <c r="ES159" s="90">
        <f t="shared" si="179"/>
        <v>1.08397416943394</v>
      </c>
      <c r="ET159" s="86">
        <f t="shared" si="180"/>
        <v>6</v>
      </c>
      <c r="EU159" s="86">
        <f t="shared" si="181"/>
        <v>6</v>
      </c>
      <c r="EV159" s="86">
        <f t="shared" si="159"/>
        <v>0.98952850725315977</v>
      </c>
      <c r="EW159" s="86">
        <f t="shared" si="160"/>
        <v>-4.800265950079158</v>
      </c>
      <c r="EX159" s="86">
        <f t="shared" si="161"/>
        <v>2.1068262411347516</v>
      </c>
      <c r="EY159" s="86">
        <f t="shared" si="162"/>
        <v>0.86956521739130432</v>
      </c>
      <c r="EZ159" s="83">
        <f t="shared" si="173"/>
        <v>-4.1741443044166591</v>
      </c>
      <c r="FA159" s="83">
        <f t="shared" si="163"/>
        <v>1.5930633203287348</v>
      </c>
      <c r="FB159" s="83">
        <f t="shared" si="164"/>
        <v>8</v>
      </c>
      <c r="FC159" s="63" t="s">
        <v>125</v>
      </c>
    </row>
    <row r="160" spans="1:159" s="82" customFormat="1" ht="17.100000000000001" customHeight="1">
      <c r="A160" s="78" t="s">
        <v>1796</v>
      </c>
      <c r="B160" s="79" t="s">
        <v>1925</v>
      </c>
      <c r="C160" s="80" t="str">
        <f t="shared" si="150"/>
        <v>Peterson, D. W., &amp; Reich, P. B.  2008.  Fire frequency and tree canopy structure influence plant species diversity in a forest-grassland ecotone. Plant Ecology. 194: 5-16.</v>
      </c>
      <c r="D160" s="79" t="s">
        <v>1468</v>
      </c>
      <c r="E160" s="81">
        <v>2008</v>
      </c>
      <c r="F160" s="79" t="s">
        <v>484</v>
      </c>
      <c r="G160" s="79" t="s">
        <v>485</v>
      </c>
      <c r="H160" s="81">
        <v>194</v>
      </c>
      <c r="I160" s="81" t="s">
        <v>486</v>
      </c>
      <c r="J160" s="79"/>
      <c r="K160" s="79" t="s">
        <v>487</v>
      </c>
      <c r="L160" s="82" t="s">
        <v>101</v>
      </c>
      <c r="M160" s="65" t="s">
        <v>73</v>
      </c>
      <c r="N160" s="63" t="s">
        <v>389</v>
      </c>
      <c r="O160" s="82" t="s">
        <v>758</v>
      </c>
      <c r="P160" s="81" t="s">
        <v>16</v>
      </c>
      <c r="Q160" s="79" t="s">
        <v>479</v>
      </c>
      <c r="R160" s="79" t="s">
        <v>488</v>
      </c>
      <c r="S160" s="79" t="s">
        <v>1559</v>
      </c>
      <c r="T160" s="79" t="s">
        <v>480</v>
      </c>
      <c r="U160" s="79" t="s">
        <v>481</v>
      </c>
      <c r="V160" s="81">
        <v>45.42</v>
      </c>
      <c r="W160" s="81">
        <v>-93.17</v>
      </c>
      <c r="X160" s="103"/>
      <c r="Y160" s="66" t="s">
        <v>1897</v>
      </c>
      <c r="Z160" s="66" t="s">
        <v>2203</v>
      </c>
      <c r="AA160" s="97" t="s">
        <v>555</v>
      </c>
      <c r="AB160" s="79" t="s">
        <v>64</v>
      </c>
      <c r="AC160" s="79" t="s">
        <v>64</v>
      </c>
      <c r="AD160" s="82" t="s">
        <v>1268</v>
      </c>
      <c r="AF160" s="82" t="s">
        <v>86</v>
      </c>
      <c r="AG160" s="82" t="s">
        <v>92</v>
      </c>
      <c r="AH160" s="82" t="s">
        <v>106</v>
      </c>
      <c r="AI160" s="82" t="s">
        <v>93</v>
      </c>
      <c r="AJ160" s="112">
        <v>2</v>
      </c>
      <c r="AK160" s="86" t="s">
        <v>764</v>
      </c>
      <c r="AL160" s="86" t="s">
        <v>764</v>
      </c>
      <c r="AM160" s="84" t="s">
        <v>775</v>
      </c>
      <c r="AN160" s="84" t="s">
        <v>525</v>
      </c>
      <c r="AO160" s="84" t="s">
        <v>526</v>
      </c>
      <c r="AP160" s="68" t="s">
        <v>2227</v>
      </c>
      <c r="AQ160" s="82" t="s">
        <v>94</v>
      </c>
      <c r="AR160" s="86" t="s">
        <v>64</v>
      </c>
      <c r="AS160" s="86" t="s">
        <v>193</v>
      </c>
      <c r="AT160" s="86">
        <v>6</v>
      </c>
      <c r="AU160" s="90">
        <v>33</v>
      </c>
      <c r="AV160" s="88">
        <v>0.25</v>
      </c>
      <c r="AW160" s="82" t="s">
        <v>765</v>
      </c>
      <c r="AX160" s="82" t="s">
        <v>80</v>
      </c>
      <c r="AY160" s="86">
        <v>6</v>
      </c>
      <c r="AZ160" s="86" t="s">
        <v>64</v>
      </c>
      <c r="BA160" s="86" t="s">
        <v>193</v>
      </c>
      <c r="BB160" s="86">
        <v>6</v>
      </c>
      <c r="BC160" s="82" t="s">
        <v>1242</v>
      </c>
      <c r="BD160" s="65" t="s">
        <v>124</v>
      </c>
      <c r="BE160" s="82" t="s">
        <v>182</v>
      </c>
      <c r="BF160" s="83" t="s">
        <v>387</v>
      </c>
      <c r="BG160" s="82" t="s">
        <v>21</v>
      </c>
      <c r="BH160" s="82" t="s">
        <v>22</v>
      </c>
      <c r="BI160" s="84" t="s">
        <v>489</v>
      </c>
      <c r="BJ160" s="89">
        <f t="shared" si="182"/>
        <v>16.5</v>
      </c>
      <c r="BK160" s="84" t="s">
        <v>1238</v>
      </c>
      <c r="BL160" s="84" t="s">
        <v>1239</v>
      </c>
      <c r="BM160" s="88">
        <v>1.5</v>
      </c>
      <c r="BN160" s="82" t="s">
        <v>379</v>
      </c>
      <c r="BO160" s="82" t="s">
        <v>361</v>
      </c>
      <c r="BP160" s="63" t="s">
        <v>64</v>
      </c>
      <c r="BQ160" s="63" t="s">
        <v>579</v>
      </c>
      <c r="BR160" s="82" t="s">
        <v>770</v>
      </c>
      <c r="BS160" s="82" t="s">
        <v>2128</v>
      </c>
      <c r="BT160" s="82" t="s">
        <v>760</v>
      </c>
      <c r="BU160" s="90">
        <v>16</v>
      </c>
      <c r="BV160" s="90">
        <v>1.4142135623730951</v>
      </c>
      <c r="BW160" s="90">
        <v>1.4142135623730951</v>
      </c>
      <c r="BX160" s="86">
        <v>2</v>
      </c>
      <c r="BY160" s="86">
        <v>2</v>
      </c>
      <c r="BZ160" s="82" t="s">
        <v>774</v>
      </c>
      <c r="CB160" s="82" t="s">
        <v>80</v>
      </c>
      <c r="CC160" s="90">
        <v>19.5</v>
      </c>
      <c r="CD160" s="90">
        <v>2.9495762407505248</v>
      </c>
      <c r="CE160" s="90">
        <v>2.9495762407505248</v>
      </c>
      <c r="CF160" s="86">
        <v>6</v>
      </c>
      <c r="CG160" s="86">
        <v>6</v>
      </c>
      <c r="CH160" s="82" t="s">
        <v>763</v>
      </c>
      <c r="CK160" s="86"/>
      <c r="CL160" s="86"/>
      <c r="CM160" s="86"/>
      <c r="CN160" s="86"/>
      <c r="CO160" s="86"/>
      <c r="CS160" s="86"/>
      <c r="CT160" s="86"/>
      <c r="CU160" s="86"/>
      <c r="CV160" s="86"/>
      <c r="CW160" s="86"/>
      <c r="DY160" s="86"/>
      <c r="DZ160" s="86"/>
      <c r="EA160" s="86"/>
      <c r="EB160" s="86"/>
      <c r="EC160" s="86"/>
      <c r="EG160" s="86"/>
      <c r="EH160" s="86"/>
      <c r="EI160" s="86"/>
      <c r="EJ160" s="86"/>
      <c r="EK160" s="86"/>
      <c r="EN160" s="86">
        <f t="shared" si="174"/>
        <v>16</v>
      </c>
      <c r="EO160" s="90">
        <f t="shared" si="175"/>
        <v>1.4142135623730951</v>
      </c>
      <c r="EP160" s="86">
        <f t="shared" si="176"/>
        <v>2</v>
      </c>
      <c r="EQ160" s="86">
        <f t="shared" si="177"/>
        <v>2</v>
      </c>
      <c r="ER160" s="86">
        <f t="shared" si="178"/>
        <v>19.5</v>
      </c>
      <c r="ES160" s="90">
        <f t="shared" si="179"/>
        <v>2.9495762407505248</v>
      </c>
      <c r="ET160" s="86">
        <f t="shared" si="180"/>
        <v>6</v>
      </c>
      <c r="EU160" s="86">
        <f t="shared" si="181"/>
        <v>6</v>
      </c>
      <c r="EV160" s="86">
        <f t="shared" si="159"/>
        <v>2.7537852736430506</v>
      </c>
      <c r="EW160" s="86">
        <f t="shared" si="160"/>
        <v>-1.2709778186044853</v>
      </c>
      <c r="EX160" s="86">
        <f t="shared" si="161"/>
        <v>0.76762820512820518</v>
      </c>
      <c r="EY160" s="86">
        <f t="shared" si="162"/>
        <v>0.86956521739130432</v>
      </c>
      <c r="EZ160" s="83">
        <f t="shared" si="173"/>
        <v>-1.105198103134335</v>
      </c>
      <c r="FA160" s="83">
        <f t="shared" si="163"/>
        <v>0.58043720614609084</v>
      </c>
      <c r="FB160" s="83">
        <f t="shared" si="164"/>
        <v>8</v>
      </c>
      <c r="FC160" s="63" t="s">
        <v>125</v>
      </c>
    </row>
    <row r="161" spans="1:159" ht="17.100000000000001" customHeight="1">
      <c r="A161" s="78" t="s">
        <v>1796</v>
      </c>
      <c r="B161" s="79" t="s">
        <v>1926</v>
      </c>
      <c r="C161" s="80" t="str">
        <f t="shared" si="150"/>
        <v>Peterson, D. W., &amp; Reich, P. B.  2008.  Fire frequency and tree canopy structure influence plant species diversity in a forest-grassland ecotone. Plant Ecology. 194: 5-16.</v>
      </c>
      <c r="D161" s="79" t="s">
        <v>1468</v>
      </c>
      <c r="E161" s="81">
        <v>2008</v>
      </c>
      <c r="F161" s="79" t="s">
        <v>484</v>
      </c>
      <c r="G161" s="79" t="s">
        <v>485</v>
      </c>
      <c r="H161" s="81">
        <v>194</v>
      </c>
      <c r="I161" s="81" t="s">
        <v>486</v>
      </c>
      <c r="J161" s="79"/>
      <c r="K161" s="79" t="s">
        <v>487</v>
      </c>
      <c r="L161" s="82" t="s">
        <v>101</v>
      </c>
      <c r="M161" s="65" t="s">
        <v>73</v>
      </c>
      <c r="N161" s="63" t="s">
        <v>389</v>
      </c>
      <c r="O161" s="82"/>
      <c r="P161" s="81" t="s">
        <v>16</v>
      </c>
      <c r="Q161" s="79" t="s">
        <v>479</v>
      </c>
      <c r="R161" s="79" t="s">
        <v>488</v>
      </c>
      <c r="S161" s="79" t="s">
        <v>1559</v>
      </c>
      <c r="T161" s="79" t="s">
        <v>480</v>
      </c>
      <c r="U161" s="79" t="s">
        <v>481</v>
      </c>
      <c r="V161" s="81">
        <v>45.42</v>
      </c>
      <c r="W161" s="81">
        <v>-93.17</v>
      </c>
      <c r="X161" s="103"/>
      <c r="Y161" s="66" t="s">
        <v>1897</v>
      </c>
      <c r="Z161" s="66" t="s">
        <v>2203</v>
      </c>
      <c r="AA161" s="97" t="s">
        <v>555</v>
      </c>
      <c r="AB161" s="79" t="s">
        <v>64</v>
      </c>
      <c r="AC161" s="79" t="s">
        <v>64</v>
      </c>
      <c r="AD161" s="82" t="s">
        <v>1268</v>
      </c>
      <c r="AE161" s="82"/>
      <c r="AF161" s="82" t="s">
        <v>86</v>
      </c>
      <c r="AG161" s="82" t="s">
        <v>92</v>
      </c>
      <c r="AH161" s="82" t="s">
        <v>106</v>
      </c>
      <c r="AI161" s="82" t="s">
        <v>93</v>
      </c>
      <c r="AJ161" s="112">
        <v>9</v>
      </c>
      <c r="AK161" s="120" t="s">
        <v>766</v>
      </c>
      <c r="AL161" s="120" t="s">
        <v>766</v>
      </c>
      <c r="AM161" s="84" t="s">
        <v>775</v>
      </c>
      <c r="AN161" s="84" t="s">
        <v>525</v>
      </c>
      <c r="AO161" s="84" t="s">
        <v>526</v>
      </c>
      <c r="AP161" s="68" t="s">
        <v>2227</v>
      </c>
      <c r="AQ161" s="82" t="s">
        <v>94</v>
      </c>
      <c r="AR161" s="86" t="s">
        <v>64</v>
      </c>
      <c r="AS161" s="86" t="s">
        <v>193</v>
      </c>
      <c r="AT161" s="86">
        <v>6</v>
      </c>
      <c r="AU161" s="90">
        <v>33</v>
      </c>
      <c r="AV161" s="88">
        <v>0.375</v>
      </c>
      <c r="AW161" s="82" t="s">
        <v>1241</v>
      </c>
      <c r="AX161" s="82" t="s">
        <v>80</v>
      </c>
      <c r="AY161" s="86">
        <v>6</v>
      </c>
      <c r="AZ161" s="86" t="s">
        <v>64</v>
      </c>
      <c r="BA161" s="86" t="s">
        <v>193</v>
      </c>
      <c r="BB161" s="86">
        <v>6</v>
      </c>
      <c r="BC161" s="82" t="s">
        <v>1242</v>
      </c>
      <c r="BD161" s="65" t="s">
        <v>124</v>
      </c>
      <c r="BE161" s="82" t="s">
        <v>182</v>
      </c>
      <c r="BF161" s="83" t="s">
        <v>387</v>
      </c>
      <c r="BG161" s="82" t="s">
        <v>21</v>
      </c>
      <c r="BH161" s="82" t="s">
        <v>22</v>
      </c>
      <c r="BI161" s="84" t="s">
        <v>489</v>
      </c>
      <c r="BJ161" s="89">
        <f t="shared" si="182"/>
        <v>16.5</v>
      </c>
      <c r="BK161" s="84" t="s">
        <v>1238</v>
      </c>
      <c r="BL161" s="84" t="s">
        <v>1239</v>
      </c>
      <c r="BM161" s="88">
        <v>1.5</v>
      </c>
      <c r="BN161" s="82" t="s">
        <v>379</v>
      </c>
      <c r="BO161" s="82" t="s">
        <v>361</v>
      </c>
      <c r="BP161" s="63" t="s">
        <v>64</v>
      </c>
      <c r="BQ161" s="63" t="s">
        <v>579</v>
      </c>
      <c r="BR161" s="82" t="s">
        <v>770</v>
      </c>
      <c r="BS161" s="82" t="s">
        <v>2128</v>
      </c>
      <c r="BT161" s="82" t="s">
        <v>759</v>
      </c>
      <c r="BU161" s="90">
        <v>15.5</v>
      </c>
      <c r="BV161" s="90">
        <v>3.3911649915626341</v>
      </c>
      <c r="BW161" s="90">
        <v>3.3911649915626341</v>
      </c>
      <c r="BX161" s="86">
        <v>9</v>
      </c>
      <c r="BY161" s="86">
        <v>9</v>
      </c>
      <c r="BZ161" s="82" t="s">
        <v>774</v>
      </c>
      <c r="CA161" s="82"/>
      <c r="CB161" s="82" t="s">
        <v>80</v>
      </c>
      <c r="CC161" s="90">
        <v>19.5</v>
      </c>
      <c r="CD161" s="90">
        <v>2.9495762407505248</v>
      </c>
      <c r="CE161" s="90">
        <v>2.9495762407505248</v>
      </c>
      <c r="CF161" s="86">
        <v>6</v>
      </c>
      <c r="CG161" s="86">
        <v>6</v>
      </c>
      <c r="CH161" s="82" t="s">
        <v>763</v>
      </c>
      <c r="CI161" s="82"/>
      <c r="CJ161" s="82"/>
      <c r="CK161" s="86"/>
      <c r="CL161" s="86"/>
      <c r="CM161" s="86"/>
      <c r="CN161" s="86"/>
      <c r="CO161" s="86"/>
      <c r="CP161" s="82"/>
      <c r="CQ161" s="82"/>
      <c r="CR161" s="82"/>
      <c r="CS161" s="86"/>
      <c r="CT161" s="86"/>
      <c r="CU161" s="86"/>
      <c r="CV161" s="86"/>
      <c r="CW161" s="86"/>
      <c r="CX161" s="82"/>
      <c r="CY161" s="82"/>
      <c r="CZ161" s="82"/>
      <c r="DA161" s="82"/>
      <c r="DB161" s="82"/>
      <c r="DC161" s="82"/>
      <c r="DD161" s="82"/>
      <c r="DE161" s="82"/>
      <c r="DF161" s="82"/>
      <c r="DG161" s="82"/>
      <c r="DH161" s="82"/>
      <c r="DI161" s="82"/>
      <c r="DJ161" s="82"/>
      <c r="DK161" s="82"/>
      <c r="DL161" s="82"/>
      <c r="DM161" s="82"/>
      <c r="DN161" s="82"/>
      <c r="DO161" s="82"/>
      <c r="DP161" s="82"/>
      <c r="DQ161" s="82"/>
      <c r="DR161" s="82"/>
      <c r="DS161" s="82"/>
      <c r="DT161" s="82"/>
      <c r="DU161" s="82"/>
      <c r="DV161" s="82"/>
      <c r="DW161" s="82"/>
      <c r="DX161" s="82"/>
      <c r="DY161" s="86"/>
      <c r="DZ161" s="86"/>
      <c r="EA161" s="86"/>
      <c r="EB161" s="86"/>
      <c r="EC161" s="86"/>
      <c r="ED161" s="82"/>
      <c r="EE161" s="82"/>
      <c r="EF161" s="82"/>
      <c r="EG161" s="86"/>
      <c r="EH161" s="86"/>
      <c r="EI161" s="86"/>
      <c r="EJ161" s="86"/>
      <c r="EK161" s="86"/>
      <c r="EL161" s="82"/>
      <c r="EM161" s="82"/>
      <c r="EN161" s="86">
        <f t="shared" si="174"/>
        <v>15.5</v>
      </c>
      <c r="EO161" s="90">
        <f t="shared" si="175"/>
        <v>3.3911649915626341</v>
      </c>
      <c r="EP161" s="86">
        <f t="shared" si="176"/>
        <v>9</v>
      </c>
      <c r="EQ161" s="86">
        <f t="shared" si="177"/>
        <v>9</v>
      </c>
      <c r="ER161" s="86">
        <f t="shared" si="178"/>
        <v>19.5</v>
      </c>
      <c r="ES161" s="90">
        <f t="shared" si="179"/>
        <v>2.9495762407505248</v>
      </c>
      <c r="ET161" s="86">
        <f t="shared" si="180"/>
        <v>6</v>
      </c>
      <c r="EU161" s="86">
        <f t="shared" si="181"/>
        <v>6</v>
      </c>
      <c r="EV161" s="86">
        <f t="shared" si="159"/>
        <v>3.228479041758971</v>
      </c>
      <c r="EW161" s="86">
        <f t="shared" si="160"/>
        <v>-1.2389735068004906</v>
      </c>
      <c r="EX161" s="86">
        <f t="shared" si="161"/>
        <v>0.32894628946289461</v>
      </c>
      <c r="EY161" s="86">
        <f t="shared" si="162"/>
        <v>0.94117647058823528</v>
      </c>
      <c r="EZ161" s="83">
        <f t="shared" si="173"/>
        <v>-1.1660927122828146</v>
      </c>
      <c r="FA161" s="83">
        <f t="shared" si="163"/>
        <v>0.29138494845156065</v>
      </c>
      <c r="FB161" s="83">
        <f t="shared" si="164"/>
        <v>15</v>
      </c>
      <c r="FC161" s="63" t="s">
        <v>125</v>
      </c>
    </row>
    <row r="162" spans="1:159" ht="17.100000000000001" customHeight="1">
      <c r="A162" s="78" t="s">
        <v>1796</v>
      </c>
      <c r="B162" s="79" t="s">
        <v>1927</v>
      </c>
      <c r="C162" s="80" t="str">
        <f t="shared" si="150"/>
        <v>Peterson, D. W., &amp; Reich, P. B.  2008.  Fire frequency and tree canopy structure influence plant species diversity in a forest-grassland ecotone. Plant Ecology. 194: 5-16.</v>
      </c>
      <c r="D162" s="79" t="s">
        <v>1468</v>
      </c>
      <c r="E162" s="81">
        <v>2008</v>
      </c>
      <c r="F162" s="79" t="s">
        <v>484</v>
      </c>
      <c r="G162" s="79" t="s">
        <v>485</v>
      </c>
      <c r="H162" s="81">
        <v>194</v>
      </c>
      <c r="I162" s="81" t="s">
        <v>486</v>
      </c>
      <c r="J162" s="79"/>
      <c r="K162" s="79" t="s">
        <v>487</v>
      </c>
      <c r="L162" s="82" t="s">
        <v>101</v>
      </c>
      <c r="M162" s="65" t="s">
        <v>73</v>
      </c>
      <c r="N162" s="63" t="s">
        <v>389</v>
      </c>
      <c r="O162" s="82"/>
      <c r="P162" s="81" t="s">
        <v>16</v>
      </c>
      <c r="Q162" s="79" t="s">
        <v>479</v>
      </c>
      <c r="R162" s="79" t="s">
        <v>488</v>
      </c>
      <c r="S162" s="79" t="s">
        <v>1559</v>
      </c>
      <c r="T162" s="79" t="s">
        <v>480</v>
      </c>
      <c r="U162" s="79" t="s">
        <v>481</v>
      </c>
      <c r="V162" s="81">
        <v>45.42</v>
      </c>
      <c r="W162" s="81">
        <v>-93.17</v>
      </c>
      <c r="X162" s="103"/>
      <c r="Y162" s="66" t="s">
        <v>1897</v>
      </c>
      <c r="Z162" s="66" t="s">
        <v>2203</v>
      </c>
      <c r="AA162" s="97" t="s">
        <v>555</v>
      </c>
      <c r="AB162" s="79" t="s">
        <v>64</v>
      </c>
      <c r="AC162" s="79" t="s">
        <v>64</v>
      </c>
      <c r="AD162" s="82" t="s">
        <v>1268</v>
      </c>
      <c r="AE162" s="82"/>
      <c r="AF162" s="82" t="s">
        <v>86</v>
      </c>
      <c r="AG162" s="82" t="s">
        <v>92</v>
      </c>
      <c r="AH162" s="82" t="s">
        <v>106</v>
      </c>
      <c r="AI162" s="82" t="s">
        <v>93</v>
      </c>
      <c r="AJ162" s="112">
        <v>2</v>
      </c>
      <c r="AK162" s="120" t="s">
        <v>767</v>
      </c>
      <c r="AL162" s="120" t="s">
        <v>767</v>
      </c>
      <c r="AM162" s="84" t="s">
        <v>775</v>
      </c>
      <c r="AN162" s="84" t="s">
        <v>525</v>
      </c>
      <c r="AO162" s="84" t="s">
        <v>526</v>
      </c>
      <c r="AP162" s="68" t="s">
        <v>2227</v>
      </c>
      <c r="AQ162" s="82" t="s">
        <v>94</v>
      </c>
      <c r="AR162" s="86" t="s">
        <v>64</v>
      </c>
      <c r="AS162" s="86" t="s">
        <v>193</v>
      </c>
      <c r="AT162" s="86">
        <v>6</v>
      </c>
      <c r="AU162" s="90">
        <v>33</v>
      </c>
      <c r="AV162" s="88">
        <v>0.625</v>
      </c>
      <c r="AW162" s="82" t="s">
        <v>765</v>
      </c>
      <c r="AX162" s="82" t="s">
        <v>80</v>
      </c>
      <c r="AY162" s="86">
        <v>6</v>
      </c>
      <c r="AZ162" s="86" t="s">
        <v>64</v>
      </c>
      <c r="BA162" s="86" t="s">
        <v>193</v>
      </c>
      <c r="BB162" s="86">
        <v>6</v>
      </c>
      <c r="BC162" s="82" t="s">
        <v>1242</v>
      </c>
      <c r="BD162" s="65" t="s">
        <v>124</v>
      </c>
      <c r="BE162" s="82" t="s">
        <v>182</v>
      </c>
      <c r="BF162" s="83" t="s">
        <v>387</v>
      </c>
      <c r="BG162" s="82" t="s">
        <v>21</v>
      </c>
      <c r="BH162" s="82" t="s">
        <v>22</v>
      </c>
      <c r="BI162" s="84" t="s">
        <v>489</v>
      </c>
      <c r="BJ162" s="89">
        <f t="shared" si="182"/>
        <v>16.5</v>
      </c>
      <c r="BK162" s="84" t="s">
        <v>1238</v>
      </c>
      <c r="BL162" s="84" t="s">
        <v>1239</v>
      </c>
      <c r="BM162" s="88">
        <v>1.5</v>
      </c>
      <c r="BN162" s="82" t="s">
        <v>379</v>
      </c>
      <c r="BO162" s="82" t="s">
        <v>361</v>
      </c>
      <c r="BP162" s="63" t="s">
        <v>64</v>
      </c>
      <c r="BQ162" s="63" t="s">
        <v>579</v>
      </c>
      <c r="BR162" s="82" t="s">
        <v>770</v>
      </c>
      <c r="BS162" s="82" t="s">
        <v>2128</v>
      </c>
      <c r="BT162" s="82" t="s">
        <v>761</v>
      </c>
      <c r="BU162" s="90">
        <v>12</v>
      </c>
      <c r="BV162" s="90">
        <v>1.4142135623730951</v>
      </c>
      <c r="BW162" s="90">
        <v>1.4142135623730951</v>
      </c>
      <c r="BX162" s="86">
        <v>2</v>
      </c>
      <c r="BY162" s="86">
        <v>2</v>
      </c>
      <c r="BZ162" s="82" t="s">
        <v>774</v>
      </c>
      <c r="CA162" s="82"/>
      <c r="CB162" s="82" t="s">
        <v>80</v>
      </c>
      <c r="CC162" s="90">
        <v>19.5</v>
      </c>
      <c r="CD162" s="90">
        <v>2.9495762407505248</v>
      </c>
      <c r="CE162" s="90">
        <v>2.9495762407505248</v>
      </c>
      <c r="CF162" s="86">
        <v>6</v>
      </c>
      <c r="CG162" s="86">
        <v>6</v>
      </c>
      <c r="CH162" s="82" t="s">
        <v>763</v>
      </c>
      <c r="CI162" s="82"/>
      <c r="CJ162" s="82"/>
      <c r="CK162" s="86"/>
      <c r="CL162" s="86"/>
      <c r="CM162" s="86"/>
      <c r="CN162" s="86"/>
      <c r="CO162" s="86"/>
      <c r="CP162" s="82"/>
      <c r="CQ162" s="82"/>
      <c r="CR162" s="82"/>
      <c r="CS162" s="86"/>
      <c r="CT162" s="86"/>
      <c r="CU162" s="86"/>
      <c r="CV162" s="86"/>
      <c r="CW162" s="86"/>
      <c r="CX162" s="82"/>
      <c r="CY162" s="82"/>
      <c r="CZ162" s="82"/>
      <c r="DA162" s="82"/>
      <c r="DB162" s="82"/>
      <c r="DC162" s="82"/>
      <c r="DD162" s="82"/>
      <c r="DE162" s="82"/>
      <c r="DF162" s="82"/>
      <c r="DG162" s="82"/>
      <c r="DH162" s="82"/>
      <c r="DI162" s="82"/>
      <c r="DJ162" s="82"/>
      <c r="DK162" s="82"/>
      <c r="DL162" s="82"/>
      <c r="DM162" s="82"/>
      <c r="DN162" s="82"/>
      <c r="DO162" s="82"/>
      <c r="DP162" s="82"/>
      <c r="DQ162" s="82"/>
      <c r="DR162" s="82"/>
      <c r="DS162" s="82"/>
      <c r="DT162" s="82"/>
      <c r="DU162" s="82"/>
      <c r="DV162" s="82"/>
      <c r="DW162" s="82"/>
      <c r="DX162" s="82"/>
      <c r="DY162" s="86"/>
      <c r="DZ162" s="86"/>
      <c r="EA162" s="86"/>
      <c r="EB162" s="86"/>
      <c r="EC162" s="86"/>
      <c r="ED162" s="82"/>
      <c r="EE162" s="82"/>
      <c r="EF162" s="82"/>
      <c r="EG162" s="86"/>
      <c r="EH162" s="86"/>
      <c r="EI162" s="86"/>
      <c r="EJ162" s="86"/>
      <c r="EK162" s="86"/>
      <c r="EL162" s="82"/>
      <c r="EM162" s="82"/>
      <c r="EN162" s="86">
        <f t="shared" si="174"/>
        <v>12</v>
      </c>
      <c r="EO162" s="90">
        <f t="shared" si="175"/>
        <v>1.4142135623730951</v>
      </c>
      <c r="EP162" s="86">
        <f t="shared" si="176"/>
        <v>2</v>
      </c>
      <c r="EQ162" s="86">
        <f t="shared" si="177"/>
        <v>2</v>
      </c>
      <c r="ER162" s="86">
        <f t="shared" si="178"/>
        <v>19.5</v>
      </c>
      <c r="ES162" s="90">
        <f t="shared" si="179"/>
        <v>2.9495762407505248</v>
      </c>
      <c r="ET162" s="86">
        <f t="shared" si="180"/>
        <v>6</v>
      </c>
      <c r="EU162" s="86">
        <f t="shared" si="181"/>
        <v>6</v>
      </c>
      <c r="EV162" s="86">
        <f t="shared" si="159"/>
        <v>2.7537852736430506</v>
      </c>
      <c r="EW162" s="86">
        <f t="shared" si="160"/>
        <v>-2.7235238970096112</v>
      </c>
      <c r="EX162" s="86">
        <f t="shared" si="161"/>
        <v>1.1302655677655677</v>
      </c>
      <c r="EY162" s="86">
        <f t="shared" si="162"/>
        <v>0.86956521739130432</v>
      </c>
      <c r="EZ162" s="83">
        <f t="shared" si="173"/>
        <v>-2.368281649573575</v>
      </c>
      <c r="FA162" s="83">
        <f t="shared" si="163"/>
        <v>0.85464315142954084</v>
      </c>
      <c r="FB162" s="83">
        <f t="shared" si="164"/>
        <v>8</v>
      </c>
      <c r="FC162" s="63" t="s">
        <v>125</v>
      </c>
    </row>
    <row r="163" spans="1:159" ht="17.100000000000001" customHeight="1">
      <c r="A163" s="78" t="s">
        <v>1796</v>
      </c>
      <c r="B163" s="79" t="s">
        <v>1928</v>
      </c>
      <c r="C163" s="80" t="str">
        <f t="shared" si="150"/>
        <v>Peterson, D. W., &amp; Reich, P. B.  2008.  Fire frequency and tree canopy structure influence plant species diversity in a forest-grassland ecotone. Plant Ecology. 194: 5-16.</v>
      </c>
      <c r="D163" s="79" t="s">
        <v>1468</v>
      </c>
      <c r="E163" s="81">
        <v>2008</v>
      </c>
      <c r="F163" s="79" t="s">
        <v>484</v>
      </c>
      <c r="G163" s="79" t="s">
        <v>485</v>
      </c>
      <c r="H163" s="81">
        <v>194</v>
      </c>
      <c r="I163" s="81" t="s">
        <v>486</v>
      </c>
      <c r="J163" s="79"/>
      <c r="K163" s="79" t="s">
        <v>487</v>
      </c>
      <c r="L163" s="82" t="s">
        <v>101</v>
      </c>
      <c r="M163" s="65" t="s">
        <v>73</v>
      </c>
      <c r="N163" s="63" t="s">
        <v>389</v>
      </c>
      <c r="O163" s="82"/>
      <c r="P163" s="81" t="s">
        <v>16</v>
      </c>
      <c r="Q163" s="79" t="s">
        <v>479</v>
      </c>
      <c r="R163" s="79" t="s">
        <v>488</v>
      </c>
      <c r="S163" s="79" t="s">
        <v>1559</v>
      </c>
      <c r="T163" s="79" t="s">
        <v>480</v>
      </c>
      <c r="U163" s="79" t="s">
        <v>481</v>
      </c>
      <c r="V163" s="81">
        <v>45.42</v>
      </c>
      <c r="W163" s="81">
        <v>-93.17</v>
      </c>
      <c r="X163" s="103"/>
      <c r="Y163" s="66" t="s">
        <v>1897</v>
      </c>
      <c r="Z163" s="66" t="s">
        <v>2203</v>
      </c>
      <c r="AA163" s="97" t="s">
        <v>555</v>
      </c>
      <c r="AB163" s="79" t="s">
        <v>64</v>
      </c>
      <c r="AC163" s="79" t="s">
        <v>64</v>
      </c>
      <c r="AD163" s="82" t="s">
        <v>1268</v>
      </c>
      <c r="AE163" s="82"/>
      <c r="AF163" s="82" t="s">
        <v>86</v>
      </c>
      <c r="AG163" s="82" t="s">
        <v>92</v>
      </c>
      <c r="AH163" s="82" t="s">
        <v>106</v>
      </c>
      <c r="AI163" s="82" t="s">
        <v>93</v>
      </c>
      <c r="AJ163" s="112">
        <v>3</v>
      </c>
      <c r="AK163" s="120" t="s">
        <v>768</v>
      </c>
      <c r="AL163" s="120" t="s">
        <v>768</v>
      </c>
      <c r="AM163" s="84" t="s">
        <v>775</v>
      </c>
      <c r="AN163" s="84" t="s">
        <v>525</v>
      </c>
      <c r="AO163" s="84" t="s">
        <v>526</v>
      </c>
      <c r="AP163" s="68" t="s">
        <v>2227</v>
      </c>
      <c r="AQ163" s="82" t="s">
        <v>94</v>
      </c>
      <c r="AR163" s="86" t="s">
        <v>64</v>
      </c>
      <c r="AS163" s="86" t="s">
        <v>193</v>
      </c>
      <c r="AT163" s="86">
        <v>6</v>
      </c>
      <c r="AU163" s="90">
        <v>33</v>
      </c>
      <c r="AV163" s="88">
        <v>0.875</v>
      </c>
      <c r="AW163" s="82" t="s">
        <v>1243</v>
      </c>
      <c r="AX163" s="82" t="s">
        <v>80</v>
      </c>
      <c r="AY163" s="86">
        <v>6</v>
      </c>
      <c r="AZ163" s="86" t="s">
        <v>64</v>
      </c>
      <c r="BA163" s="86" t="s">
        <v>193</v>
      </c>
      <c r="BB163" s="86">
        <v>6</v>
      </c>
      <c r="BC163" s="82" t="s">
        <v>1242</v>
      </c>
      <c r="BD163" s="65" t="s">
        <v>124</v>
      </c>
      <c r="BE163" s="82" t="s">
        <v>182</v>
      </c>
      <c r="BF163" s="137" t="s">
        <v>387</v>
      </c>
      <c r="BG163" s="82" t="s">
        <v>21</v>
      </c>
      <c r="BH163" s="82" t="s">
        <v>22</v>
      </c>
      <c r="BI163" s="84" t="s">
        <v>489</v>
      </c>
      <c r="BJ163" s="89">
        <f t="shared" si="182"/>
        <v>16.5</v>
      </c>
      <c r="BK163" s="84" t="s">
        <v>1238</v>
      </c>
      <c r="BL163" s="84" t="s">
        <v>1239</v>
      </c>
      <c r="BM163" s="88">
        <v>1.5</v>
      </c>
      <c r="BN163" s="82" t="s">
        <v>379</v>
      </c>
      <c r="BO163" s="82" t="s">
        <v>361</v>
      </c>
      <c r="BP163" s="63" t="s">
        <v>64</v>
      </c>
      <c r="BQ163" s="63" t="s">
        <v>579</v>
      </c>
      <c r="BR163" s="82" t="s">
        <v>770</v>
      </c>
      <c r="BS163" s="82" t="s">
        <v>2128</v>
      </c>
      <c r="BT163" s="82" t="s">
        <v>762</v>
      </c>
      <c r="BU163" s="90">
        <v>12.75</v>
      </c>
      <c r="BV163" s="90">
        <v>0.35355339059327379</v>
      </c>
      <c r="BW163" s="90">
        <v>0.35355339059327379</v>
      </c>
      <c r="BX163" s="86">
        <v>2</v>
      </c>
      <c r="BY163" s="86">
        <v>2</v>
      </c>
      <c r="BZ163" s="82" t="s">
        <v>774</v>
      </c>
      <c r="CA163" s="82"/>
      <c r="CB163" s="82" t="s">
        <v>80</v>
      </c>
      <c r="CC163" s="90">
        <v>19.5</v>
      </c>
      <c r="CD163" s="90">
        <v>2.9495762407505248</v>
      </c>
      <c r="CE163" s="90">
        <v>2.9495762407505248</v>
      </c>
      <c r="CF163" s="86">
        <v>6</v>
      </c>
      <c r="CG163" s="86">
        <v>6</v>
      </c>
      <c r="CH163" s="82" t="s">
        <v>763</v>
      </c>
      <c r="CI163" s="82"/>
      <c r="CJ163" s="82"/>
      <c r="CK163" s="86"/>
      <c r="CL163" s="86"/>
      <c r="CM163" s="86"/>
      <c r="CN163" s="86"/>
      <c r="CO163" s="86"/>
      <c r="CP163" s="82"/>
      <c r="CQ163" s="82"/>
      <c r="CR163" s="82"/>
      <c r="CS163" s="86"/>
      <c r="CT163" s="86"/>
      <c r="CU163" s="86"/>
      <c r="CV163" s="86"/>
      <c r="CW163" s="86"/>
      <c r="CX163" s="82"/>
      <c r="CY163" s="82"/>
      <c r="CZ163" s="82"/>
      <c r="DA163" s="82"/>
      <c r="DB163" s="82"/>
      <c r="DC163" s="82"/>
      <c r="DD163" s="82"/>
      <c r="DE163" s="82"/>
      <c r="DF163" s="82"/>
      <c r="DG163" s="82"/>
      <c r="DH163" s="82"/>
      <c r="DI163" s="82"/>
      <c r="DJ163" s="82"/>
      <c r="DK163" s="82"/>
      <c r="DL163" s="82"/>
      <c r="DM163" s="82"/>
      <c r="DN163" s="82"/>
      <c r="DO163" s="82"/>
      <c r="DP163" s="82"/>
      <c r="DQ163" s="82"/>
      <c r="DR163" s="82"/>
      <c r="DS163" s="82"/>
      <c r="DT163" s="82"/>
      <c r="DU163" s="82"/>
      <c r="DV163" s="82"/>
      <c r="DW163" s="82"/>
      <c r="DX163" s="82"/>
      <c r="DY163" s="86"/>
      <c r="DZ163" s="86"/>
      <c r="EA163" s="86"/>
      <c r="EB163" s="86"/>
      <c r="EC163" s="86"/>
      <c r="ED163" s="82"/>
      <c r="EE163" s="82"/>
      <c r="EF163" s="82"/>
      <c r="EG163" s="86"/>
      <c r="EH163" s="86"/>
      <c r="EI163" s="86"/>
      <c r="EJ163" s="86"/>
      <c r="EK163" s="86"/>
      <c r="EL163" s="82"/>
      <c r="EM163" s="82"/>
      <c r="EN163" s="86">
        <f t="shared" si="174"/>
        <v>12.75</v>
      </c>
      <c r="EO163" s="90">
        <f t="shared" si="175"/>
        <v>0.35355339059327379</v>
      </c>
      <c r="EP163" s="86">
        <f t="shared" si="176"/>
        <v>2</v>
      </c>
      <c r="EQ163" s="86">
        <f t="shared" si="177"/>
        <v>2</v>
      </c>
      <c r="ER163" s="86">
        <f t="shared" si="178"/>
        <v>19.5</v>
      </c>
      <c r="ES163" s="90">
        <f t="shared" si="179"/>
        <v>2.9495762407505248</v>
      </c>
      <c r="ET163" s="86">
        <f t="shared" si="180"/>
        <v>6</v>
      </c>
      <c r="EU163" s="86">
        <f t="shared" si="181"/>
        <v>6</v>
      </c>
      <c r="EV163" s="86">
        <f t="shared" si="159"/>
        <v>2.696448281227239</v>
      </c>
      <c r="EW163" s="86">
        <f t="shared" si="160"/>
        <v>-2.503292960222423</v>
      </c>
      <c r="EX163" s="86">
        <f t="shared" si="161"/>
        <v>1.0583213944603629</v>
      </c>
      <c r="EY163" s="86">
        <f t="shared" si="162"/>
        <v>0.86956521739130432</v>
      </c>
      <c r="EZ163" s="83">
        <f t="shared" si="173"/>
        <v>-2.1767764871499331</v>
      </c>
      <c r="FA163" s="83">
        <f t="shared" si="163"/>
        <v>0.80024302038590767</v>
      </c>
      <c r="FB163" s="83">
        <f t="shared" si="164"/>
        <v>8</v>
      </c>
      <c r="FC163" s="63" t="s">
        <v>125</v>
      </c>
    </row>
    <row r="164" spans="1:159" s="82" customFormat="1" ht="17.100000000000001" customHeight="1">
      <c r="A164" s="78" t="s">
        <v>1796</v>
      </c>
      <c r="B164" s="79" t="s">
        <v>1925</v>
      </c>
      <c r="C164" s="80" t="str">
        <f t="shared" si="150"/>
        <v>Peterson, D. W., &amp; Reich, P. B.  2008.  Fire frequency and tree canopy structure influence plant species diversity in a forest-grassland ecotone. Plant Ecology. 194: 5-16.</v>
      </c>
      <c r="D164" s="79" t="s">
        <v>1468</v>
      </c>
      <c r="E164" s="81">
        <v>2008</v>
      </c>
      <c r="F164" s="79" t="s">
        <v>484</v>
      </c>
      <c r="G164" s="79" t="s">
        <v>485</v>
      </c>
      <c r="H164" s="81">
        <v>194</v>
      </c>
      <c r="I164" s="81" t="s">
        <v>486</v>
      </c>
      <c r="J164" s="79"/>
      <c r="K164" s="79" t="s">
        <v>487</v>
      </c>
      <c r="L164" s="82" t="s">
        <v>101</v>
      </c>
      <c r="M164" s="65" t="s">
        <v>73</v>
      </c>
      <c r="N164" s="63" t="s">
        <v>389</v>
      </c>
      <c r="O164" s="82" t="s">
        <v>758</v>
      </c>
      <c r="P164" s="81" t="s">
        <v>16</v>
      </c>
      <c r="Q164" s="79" t="s">
        <v>479</v>
      </c>
      <c r="R164" s="79" t="s">
        <v>488</v>
      </c>
      <c r="S164" s="79" t="s">
        <v>1559</v>
      </c>
      <c r="T164" s="79" t="s">
        <v>480</v>
      </c>
      <c r="U164" s="79" t="s">
        <v>481</v>
      </c>
      <c r="V164" s="81">
        <v>45.42</v>
      </c>
      <c r="W164" s="81">
        <v>-93.17</v>
      </c>
      <c r="X164" s="103"/>
      <c r="Y164" s="66" t="s">
        <v>1897</v>
      </c>
      <c r="Z164" s="66" t="s">
        <v>2203</v>
      </c>
      <c r="AA164" s="97" t="s">
        <v>555</v>
      </c>
      <c r="AB164" s="79" t="s">
        <v>64</v>
      </c>
      <c r="AC164" s="79" t="s">
        <v>64</v>
      </c>
      <c r="AD164" s="82" t="s">
        <v>1268</v>
      </c>
      <c r="AF164" s="82" t="s">
        <v>86</v>
      </c>
      <c r="AG164" s="82" t="s">
        <v>92</v>
      </c>
      <c r="AH164" s="82" t="s">
        <v>106</v>
      </c>
      <c r="AI164" s="82" t="s">
        <v>93</v>
      </c>
      <c r="AJ164" s="112">
        <v>2</v>
      </c>
      <c r="AK164" s="86" t="s">
        <v>764</v>
      </c>
      <c r="AL164" s="86" t="s">
        <v>764</v>
      </c>
      <c r="AM164" s="84" t="s">
        <v>775</v>
      </c>
      <c r="AN164" s="84" t="s">
        <v>525</v>
      </c>
      <c r="AO164" s="84" t="s">
        <v>526</v>
      </c>
      <c r="AP164" s="68" t="s">
        <v>2227</v>
      </c>
      <c r="AQ164" s="82" t="s">
        <v>94</v>
      </c>
      <c r="AR164" s="86" t="s">
        <v>64</v>
      </c>
      <c r="AS164" s="86" t="s">
        <v>193</v>
      </c>
      <c r="AT164" s="86">
        <v>6</v>
      </c>
      <c r="AU164" s="90">
        <v>33</v>
      </c>
      <c r="AV164" s="88">
        <v>0.25</v>
      </c>
      <c r="AW164" s="82" t="s">
        <v>765</v>
      </c>
      <c r="AX164" s="82" t="s">
        <v>80</v>
      </c>
      <c r="AY164" s="86">
        <v>6</v>
      </c>
      <c r="AZ164" s="86" t="s">
        <v>64</v>
      </c>
      <c r="BA164" s="86" t="s">
        <v>193</v>
      </c>
      <c r="BB164" s="86">
        <v>6</v>
      </c>
      <c r="BC164" s="82" t="s">
        <v>1242</v>
      </c>
      <c r="BD164" s="65" t="s">
        <v>124</v>
      </c>
      <c r="BE164" s="82" t="s">
        <v>182</v>
      </c>
      <c r="BF164" s="83" t="s">
        <v>386</v>
      </c>
      <c r="BG164" s="82" t="s">
        <v>21</v>
      </c>
      <c r="BH164" s="82" t="s">
        <v>22</v>
      </c>
      <c r="BI164" s="84" t="s">
        <v>489</v>
      </c>
      <c r="BJ164" s="89">
        <f t="shared" si="182"/>
        <v>16.5</v>
      </c>
      <c r="BK164" s="84" t="s">
        <v>1238</v>
      </c>
      <c r="BL164" s="84" t="s">
        <v>1239</v>
      </c>
      <c r="BM164" s="88">
        <v>1.5</v>
      </c>
      <c r="BN164" s="82" t="s">
        <v>379</v>
      </c>
      <c r="BO164" s="82" t="s">
        <v>361</v>
      </c>
      <c r="BP164" s="63" t="s">
        <v>64</v>
      </c>
      <c r="BQ164" s="179" t="s">
        <v>769</v>
      </c>
      <c r="BR164" s="82" t="s">
        <v>1631</v>
      </c>
      <c r="BS164" s="82" t="s">
        <v>2129</v>
      </c>
      <c r="BT164" s="82" t="s">
        <v>760</v>
      </c>
      <c r="BU164" s="90">
        <v>29.5</v>
      </c>
      <c r="BV164" s="90">
        <v>4.9497474683058327</v>
      </c>
      <c r="BW164" s="90">
        <v>4.9497474683058327</v>
      </c>
      <c r="BX164" s="86">
        <v>2</v>
      </c>
      <c r="BY164" s="86">
        <v>2</v>
      </c>
      <c r="BZ164" s="82" t="s">
        <v>774</v>
      </c>
      <c r="CB164" s="82" t="s">
        <v>80</v>
      </c>
      <c r="CC164" s="90">
        <v>25.166666666666668</v>
      </c>
      <c r="CD164" s="90">
        <v>7.9854033502802286</v>
      </c>
      <c r="CE164" s="90">
        <v>7.9854033502802286</v>
      </c>
      <c r="CF164" s="86">
        <v>6</v>
      </c>
      <c r="CG164" s="86">
        <v>6</v>
      </c>
      <c r="CH164" s="82" t="s">
        <v>763</v>
      </c>
      <c r="CK164" s="86"/>
      <c r="CL164" s="86"/>
      <c r="CM164" s="86"/>
      <c r="CN164" s="86"/>
      <c r="CO164" s="86"/>
      <c r="CS164" s="86"/>
      <c r="CT164" s="86"/>
      <c r="CU164" s="86"/>
      <c r="CV164" s="86"/>
      <c r="CW164" s="86"/>
      <c r="DY164" s="86"/>
      <c r="DZ164" s="86"/>
      <c r="EA164" s="86"/>
      <c r="EB164" s="86"/>
      <c r="EC164" s="86"/>
      <c r="EG164" s="86"/>
      <c r="EH164" s="86"/>
      <c r="EI164" s="86"/>
      <c r="EJ164" s="86"/>
      <c r="EK164" s="86"/>
      <c r="EN164" s="86">
        <f t="shared" si="174"/>
        <v>29.5</v>
      </c>
      <c r="EO164" s="90">
        <f t="shared" si="175"/>
        <v>4.9497474683058327</v>
      </c>
      <c r="EP164" s="86">
        <f t="shared" si="176"/>
        <v>2</v>
      </c>
      <c r="EQ164" s="86">
        <f t="shared" si="177"/>
        <v>2</v>
      </c>
      <c r="ER164" s="86">
        <f t="shared" si="178"/>
        <v>25.166666666666668</v>
      </c>
      <c r="ES164" s="90">
        <f t="shared" si="179"/>
        <v>7.9854033502802286</v>
      </c>
      <c r="ET164" s="86">
        <f t="shared" si="180"/>
        <v>6</v>
      </c>
      <c r="EU164" s="86">
        <f t="shared" si="181"/>
        <v>6</v>
      </c>
      <c r="EV164" s="86">
        <f t="shared" si="159"/>
        <v>7.56453714527348</v>
      </c>
      <c r="EW164" s="86">
        <f t="shared" si="160"/>
        <v>0.57284844401100099</v>
      </c>
      <c r="EX164" s="86">
        <f t="shared" si="161"/>
        <v>0.68717637540453069</v>
      </c>
      <c r="EY164" s="86">
        <f t="shared" si="162"/>
        <v>0.86956521739130432</v>
      </c>
      <c r="EZ164" s="83">
        <f t="shared" si="173"/>
        <v>0.49812908174869652</v>
      </c>
      <c r="FA164" s="83">
        <f t="shared" si="163"/>
        <v>0.51960406457809505</v>
      </c>
      <c r="FB164" s="83">
        <f t="shared" si="164"/>
        <v>8</v>
      </c>
      <c r="FC164" s="63" t="s">
        <v>125</v>
      </c>
    </row>
    <row r="165" spans="1:159" s="82" customFormat="1" ht="17.100000000000001" customHeight="1">
      <c r="A165" s="78" t="s">
        <v>1796</v>
      </c>
      <c r="B165" s="79" t="s">
        <v>1926</v>
      </c>
      <c r="C165" s="80" t="str">
        <f t="shared" si="150"/>
        <v>Peterson, D. W., &amp; Reich, P. B.  2008.  Fire frequency and tree canopy structure influence plant species diversity in a forest-grassland ecotone. Plant Ecology. 194: 5-16.</v>
      </c>
      <c r="D165" s="79" t="s">
        <v>1468</v>
      </c>
      <c r="E165" s="81">
        <v>2008</v>
      </c>
      <c r="F165" s="158" t="s">
        <v>484</v>
      </c>
      <c r="G165" s="79" t="s">
        <v>485</v>
      </c>
      <c r="H165" s="81">
        <v>194</v>
      </c>
      <c r="I165" s="81" t="s">
        <v>486</v>
      </c>
      <c r="J165" s="79"/>
      <c r="K165" s="79" t="s">
        <v>487</v>
      </c>
      <c r="L165" s="82" t="s">
        <v>101</v>
      </c>
      <c r="M165" s="65" t="s">
        <v>73</v>
      </c>
      <c r="N165" s="63" t="s">
        <v>389</v>
      </c>
      <c r="P165" s="81" t="s">
        <v>16</v>
      </c>
      <c r="Q165" s="79" t="s">
        <v>479</v>
      </c>
      <c r="R165" s="79" t="s">
        <v>488</v>
      </c>
      <c r="S165" s="79" t="s">
        <v>1559</v>
      </c>
      <c r="T165" s="79" t="s">
        <v>480</v>
      </c>
      <c r="U165" s="79" t="s">
        <v>481</v>
      </c>
      <c r="V165" s="81">
        <v>45.42</v>
      </c>
      <c r="W165" s="81">
        <v>-93.17</v>
      </c>
      <c r="X165" s="103"/>
      <c r="Y165" s="66" t="s">
        <v>1897</v>
      </c>
      <c r="Z165" s="66" t="s">
        <v>2203</v>
      </c>
      <c r="AA165" s="97" t="s">
        <v>555</v>
      </c>
      <c r="AB165" s="79" t="s">
        <v>64</v>
      </c>
      <c r="AC165" s="79" t="s">
        <v>64</v>
      </c>
      <c r="AD165" s="82" t="s">
        <v>1268</v>
      </c>
      <c r="AF165" s="82" t="s">
        <v>86</v>
      </c>
      <c r="AG165" s="82" t="s">
        <v>92</v>
      </c>
      <c r="AH165" s="82" t="s">
        <v>106</v>
      </c>
      <c r="AI165" s="82" t="s">
        <v>93</v>
      </c>
      <c r="AJ165" s="112">
        <v>9</v>
      </c>
      <c r="AK165" s="120" t="s">
        <v>766</v>
      </c>
      <c r="AL165" s="120" t="s">
        <v>766</v>
      </c>
      <c r="AM165" s="84" t="s">
        <v>775</v>
      </c>
      <c r="AN165" s="84" t="s">
        <v>525</v>
      </c>
      <c r="AO165" s="84" t="s">
        <v>526</v>
      </c>
      <c r="AP165" s="68" t="s">
        <v>2227</v>
      </c>
      <c r="AQ165" s="82" t="s">
        <v>94</v>
      </c>
      <c r="AR165" s="86" t="s">
        <v>64</v>
      </c>
      <c r="AS165" s="86" t="s">
        <v>193</v>
      </c>
      <c r="AT165" s="86">
        <v>6</v>
      </c>
      <c r="AU165" s="90">
        <v>33</v>
      </c>
      <c r="AV165" s="88">
        <v>0.375</v>
      </c>
      <c r="AW165" s="82" t="s">
        <v>1241</v>
      </c>
      <c r="AX165" s="82" t="s">
        <v>80</v>
      </c>
      <c r="AY165" s="86">
        <v>6</v>
      </c>
      <c r="AZ165" s="86" t="s">
        <v>64</v>
      </c>
      <c r="BA165" s="86" t="s">
        <v>193</v>
      </c>
      <c r="BB165" s="86">
        <v>6</v>
      </c>
      <c r="BC165" s="82" t="s">
        <v>1242</v>
      </c>
      <c r="BD165" s="65" t="s">
        <v>124</v>
      </c>
      <c r="BE165" s="82" t="s">
        <v>182</v>
      </c>
      <c r="BF165" s="83" t="s">
        <v>386</v>
      </c>
      <c r="BG165" s="82" t="s">
        <v>21</v>
      </c>
      <c r="BH165" s="82" t="s">
        <v>22</v>
      </c>
      <c r="BI165" s="84" t="s">
        <v>489</v>
      </c>
      <c r="BJ165" s="89">
        <f t="shared" si="182"/>
        <v>16.5</v>
      </c>
      <c r="BK165" s="84" t="s">
        <v>1238</v>
      </c>
      <c r="BL165" s="84" t="s">
        <v>1239</v>
      </c>
      <c r="BM165" s="88">
        <v>1.5</v>
      </c>
      <c r="BN165" s="82" t="s">
        <v>379</v>
      </c>
      <c r="BO165" s="82" t="s">
        <v>361</v>
      </c>
      <c r="BP165" s="63" t="s">
        <v>64</v>
      </c>
      <c r="BQ165" s="179" t="s">
        <v>769</v>
      </c>
      <c r="BR165" s="82" t="s">
        <v>1631</v>
      </c>
      <c r="BS165" s="82" t="s">
        <v>2129</v>
      </c>
      <c r="BT165" s="82" t="s">
        <v>759</v>
      </c>
      <c r="BU165" s="90">
        <v>46.444444444444443</v>
      </c>
      <c r="BV165" s="90">
        <v>5.4396946401225339</v>
      </c>
      <c r="BW165" s="90">
        <v>5.4396946401225339</v>
      </c>
      <c r="BX165" s="159">
        <v>9</v>
      </c>
      <c r="BY165" s="184">
        <v>9</v>
      </c>
      <c r="BZ165" s="185" t="s">
        <v>774</v>
      </c>
      <c r="CA165" s="185"/>
      <c r="CB165" s="82" t="s">
        <v>80</v>
      </c>
      <c r="CC165" s="90">
        <v>25.166666666666668</v>
      </c>
      <c r="CD165" s="90">
        <v>7.9854033502802286</v>
      </c>
      <c r="CE165" s="90">
        <v>7.9854033502802286</v>
      </c>
      <c r="CF165" s="86">
        <v>6</v>
      </c>
      <c r="CG165" s="86">
        <v>6</v>
      </c>
      <c r="CH165" s="185" t="s">
        <v>763</v>
      </c>
      <c r="CK165" s="86"/>
      <c r="CL165" s="86"/>
      <c r="CM165" s="86"/>
      <c r="CN165" s="86"/>
      <c r="CO165" s="86"/>
      <c r="CS165" s="86"/>
      <c r="CT165" s="86"/>
      <c r="CU165" s="86"/>
      <c r="CV165" s="86"/>
      <c r="CW165" s="86"/>
      <c r="DY165" s="86"/>
      <c r="DZ165" s="86"/>
      <c r="EA165" s="86"/>
      <c r="EB165" s="86"/>
      <c r="EC165" s="86"/>
      <c r="EG165" s="86"/>
      <c r="EH165" s="86"/>
      <c r="EI165" s="86"/>
      <c r="EJ165" s="86"/>
      <c r="EK165" s="86"/>
      <c r="EN165" s="86">
        <f t="shared" si="174"/>
        <v>46.444444444444443</v>
      </c>
      <c r="EO165" s="90">
        <f t="shared" si="175"/>
        <v>5.4396946401225339</v>
      </c>
      <c r="EP165" s="86">
        <f t="shared" si="176"/>
        <v>9</v>
      </c>
      <c r="EQ165" s="86">
        <f t="shared" si="177"/>
        <v>9</v>
      </c>
      <c r="ER165" s="86">
        <f t="shared" si="178"/>
        <v>25.166666666666668</v>
      </c>
      <c r="ES165" s="90">
        <f t="shared" si="179"/>
        <v>7.9854033502802286</v>
      </c>
      <c r="ET165" s="86">
        <f t="shared" si="180"/>
        <v>6</v>
      </c>
      <c r="EU165" s="86">
        <f t="shared" si="181"/>
        <v>6</v>
      </c>
      <c r="EV165" s="86">
        <f t="shared" si="159"/>
        <v>6.5372045046061373</v>
      </c>
      <c r="EW165" s="86">
        <f t="shared" si="160"/>
        <v>3.2548741228433924</v>
      </c>
      <c r="EX165" s="86">
        <f t="shared" si="161"/>
        <v>0.63091796296296265</v>
      </c>
      <c r="EY165" s="86">
        <f t="shared" si="162"/>
        <v>0.94117647058823528</v>
      </c>
      <c r="EZ165" s="83">
        <f t="shared" si="173"/>
        <v>3.0634109391467224</v>
      </c>
      <c r="FA165" s="83">
        <f t="shared" si="163"/>
        <v>0.55887542739971785</v>
      </c>
      <c r="FB165" s="83">
        <f t="shared" si="164"/>
        <v>15</v>
      </c>
      <c r="FC165" s="63" t="s">
        <v>125</v>
      </c>
    </row>
    <row r="166" spans="1:159" ht="17.100000000000001" customHeight="1">
      <c r="A166" s="78" t="s">
        <v>1796</v>
      </c>
      <c r="B166" s="79" t="s">
        <v>1927</v>
      </c>
      <c r="C166" s="80" t="str">
        <f t="shared" si="150"/>
        <v>Peterson, D. W., &amp; Reich, P. B.  2008.  Fire frequency and tree canopy structure influence plant species diversity in a forest-grassland ecotone. Plant Ecology. 194: 5-16.</v>
      </c>
      <c r="D166" s="79" t="s">
        <v>1468</v>
      </c>
      <c r="E166" s="81">
        <v>2008</v>
      </c>
      <c r="F166" s="158" t="s">
        <v>484</v>
      </c>
      <c r="G166" s="79" t="s">
        <v>485</v>
      </c>
      <c r="H166" s="81">
        <v>194</v>
      </c>
      <c r="I166" s="81" t="s">
        <v>486</v>
      </c>
      <c r="J166" s="79"/>
      <c r="K166" s="79" t="s">
        <v>487</v>
      </c>
      <c r="L166" s="82" t="s">
        <v>101</v>
      </c>
      <c r="M166" s="65" t="s">
        <v>73</v>
      </c>
      <c r="N166" s="63" t="s">
        <v>389</v>
      </c>
      <c r="O166" s="82"/>
      <c r="P166" s="81" t="s">
        <v>16</v>
      </c>
      <c r="Q166" s="79" t="s">
        <v>479</v>
      </c>
      <c r="R166" s="79" t="s">
        <v>488</v>
      </c>
      <c r="S166" s="79" t="s">
        <v>1559</v>
      </c>
      <c r="T166" s="79" t="s">
        <v>480</v>
      </c>
      <c r="U166" s="79" t="s">
        <v>481</v>
      </c>
      <c r="V166" s="81">
        <v>45.42</v>
      </c>
      <c r="W166" s="81">
        <v>-93.17</v>
      </c>
      <c r="X166" s="103"/>
      <c r="Y166" s="66" t="s">
        <v>1897</v>
      </c>
      <c r="Z166" s="66" t="s">
        <v>2203</v>
      </c>
      <c r="AA166" s="97" t="s">
        <v>555</v>
      </c>
      <c r="AB166" s="79" t="s">
        <v>64</v>
      </c>
      <c r="AC166" s="79" t="s">
        <v>64</v>
      </c>
      <c r="AD166" s="82" t="s">
        <v>1268</v>
      </c>
      <c r="AE166" s="82"/>
      <c r="AF166" s="82" t="s">
        <v>86</v>
      </c>
      <c r="AG166" s="82" t="s">
        <v>92</v>
      </c>
      <c r="AH166" s="82" t="s">
        <v>106</v>
      </c>
      <c r="AI166" s="82" t="s">
        <v>93</v>
      </c>
      <c r="AJ166" s="112">
        <v>2</v>
      </c>
      <c r="AK166" s="120" t="s">
        <v>767</v>
      </c>
      <c r="AL166" s="120" t="s">
        <v>767</v>
      </c>
      <c r="AM166" s="84" t="s">
        <v>775</v>
      </c>
      <c r="AN166" s="84" t="s">
        <v>525</v>
      </c>
      <c r="AO166" s="84" t="s">
        <v>526</v>
      </c>
      <c r="AP166" s="68" t="s">
        <v>2227</v>
      </c>
      <c r="AQ166" s="82" t="s">
        <v>94</v>
      </c>
      <c r="AR166" s="86" t="s">
        <v>64</v>
      </c>
      <c r="AS166" s="86" t="s">
        <v>193</v>
      </c>
      <c r="AT166" s="86">
        <v>6</v>
      </c>
      <c r="AU166" s="90">
        <v>33</v>
      </c>
      <c r="AV166" s="88">
        <v>0.625</v>
      </c>
      <c r="AW166" s="82" t="s">
        <v>765</v>
      </c>
      <c r="AX166" s="82" t="s">
        <v>80</v>
      </c>
      <c r="AY166" s="86">
        <v>6</v>
      </c>
      <c r="AZ166" s="86" t="s">
        <v>64</v>
      </c>
      <c r="BA166" s="86" t="s">
        <v>193</v>
      </c>
      <c r="BB166" s="86">
        <v>6</v>
      </c>
      <c r="BC166" s="82" t="s">
        <v>1242</v>
      </c>
      <c r="BD166" s="65" t="s">
        <v>124</v>
      </c>
      <c r="BE166" s="82" t="s">
        <v>182</v>
      </c>
      <c r="BF166" s="83" t="s">
        <v>386</v>
      </c>
      <c r="BG166" s="82" t="s">
        <v>21</v>
      </c>
      <c r="BH166" s="82" t="s">
        <v>22</v>
      </c>
      <c r="BI166" s="84" t="s">
        <v>489</v>
      </c>
      <c r="BJ166" s="89">
        <f t="shared" si="182"/>
        <v>16.5</v>
      </c>
      <c r="BK166" s="84" t="s">
        <v>1238</v>
      </c>
      <c r="BL166" s="84" t="s">
        <v>1239</v>
      </c>
      <c r="BM166" s="88">
        <v>1.5</v>
      </c>
      <c r="BN166" s="82" t="s">
        <v>379</v>
      </c>
      <c r="BO166" s="82" t="s">
        <v>361</v>
      </c>
      <c r="BP166" s="63" t="s">
        <v>64</v>
      </c>
      <c r="BQ166" s="63" t="s">
        <v>769</v>
      </c>
      <c r="BR166" s="82" t="s">
        <v>1631</v>
      </c>
      <c r="BS166" s="82" t="s">
        <v>2129</v>
      </c>
      <c r="BT166" s="82" t="s">
        <v>761</v>
      </c>
      <c r="BU166" s="90">
        <v>51.5</v>
      </c>
      <c r="BV166" s="90">
        <v>7.7781745930520225</v>
      </c>
      <c r="BW166" s="90">
        <v>7.7781745930520225</v>
      </c>
      <c r="BX166" s="178">
        <v>2</v>
      </c>
      <c r="BY166" s="186">
        <v>2</v>
      </c>
      <c r="BZ166" s="187" t="s">
        <v>774</v>
      </c>
      <c r="CA166" s="187"/>
      <c r="CB166" s="82" t="s">
        <v>80</v>
      </c>
      <c r="CC166" s="90">
        <v>25.166666666666668</v>
      </c>
      <c r="CD166" s="90">
        <v>7.9854033502802286</v>
      </c>
      <c r="CE166" s="90">
        <v>7.9854033502802286</v>
      </c>
      <c r="CF166" s="86">
        <v>6</v>
      </c>
      <c r="CG166" s="86">
        <v>6</v>
      </c>
      <c r="CH166" s="185" t="s">
        <v>763</v>
      </c>
      <c r="CI166" s="82"/>
      <c r="CJ166" s="82"/>
      <c r="CK166" s="86"/>
      <c r="CL166" s="86"/>
      <c r="CM166" s="86"/>
      <c r="CN166" s="86"/>
      <c r="CO166" s="86"/>
      <c r="CP166" s="82"/>
      <c r="CQ166" s="82"/>
      <c r="CR166" s="82"/>
      <c r="CS166" s="86"/>
      <c r="CT166" s="86"/>
      <c r="CU166" s="86"/>
      <c r="CV166" s="86"/>
      <c r="CW166" s="86"/>
      <c r="CX166" s="82"/>
      <c r="CY166" s="82"/>
      <c r="CZ166" s="82"/>
      <c r="DA166" s="82"/>
      <c r="DB166" s="82"/>
      <c r="DC166" s="82"/>
      <c r="DD166" s="82"/>
      <c r="DE166" s="82"/>
      <c r="DF166" s="82"/>
      <c r="DG166" s="82"/>
      <c r="DH166" s="82"/>
      <c r="DI166" s="82"/>
      <c r="DJ166" s="82"/>
      <c r="DK166" s="82"/>
      <c r="DL166" s="82"/>
      <c r="DM166" s="82"/>
      <c r="DN166" s="82"/>
      <c r="DO166" s="82"/>
      <c r="DP166" s="82"/>
      <c r="DQ166" s="82"/>
      <c r="DR166" s="82"/>
      <c r="DS166" s="82"/>
      <c r="DT166" s="82"/>
      <c r="DU166" s="82"/>
      <c r="DV166" s="82"/>
      <c r="DW166" s="82"/>
      <c r="DX166" s="82"/>
      <c r="DY166" s="86"/>
      <c r="DZ166" s="86"/>
      <c r="EA166" s="86"/>
      <c r="EB166" s="86"/>
      <c r="EC166" s="86"/>
      <c r="ED166" s="82"/>
      <c r="EE166" s="82"/>
      <c r="EF166" s="82"/>
      <c r="EG166" s="86"/>
      <c r="EH166" s="86"/>
      <c r="EI166" s="86"/>
      <c r="EJ166" s="86"/>
      <c r="EK166" s="86"/>
      <c r="EL166" s="82"/>
      <c r="EM166" s="82"/>
      <c r="EN166" s="86">
        <f t="shared" si="174"/>
        <v>51.5</v>
      </c>
      <c r="EO166" s="90">
        <f t="shared" si="175"/>
        <v>7.7781745930520225</v>
      </c>
      <c r="EP166" s="86">
        <f t="shared" si="176"/>
        <v>2</v>
      </c>
      <c r="EQ166" s="86">
        <f t="shared" si="177"/>
        <v>2</v>
      </c>
      <c r="ER166" s="86">
        <f t="shared" si="178"/>
        <v>25.166666666666668</v>
      </c>
      <c r="ES166" s="90">
        <f t="shared" si="179"/>
        <v>7.9854033502802286</v>
      </c>
      <c r="ET166" s="86">
        <f t="shared" si="180"/>
        <v>6</v>
      </c>
      <c r="EU166" s="86">
        <f t="shared" si="181"/>
        <v>6</v>
      </c>
      <c r="EV166" s="86">
        <f t="shared" si="159"/>
        <v>7.9512402945843768</v>
      </c>
      <c r="EW166" s="86">
        <f t="shared" si="160"/>
        <v>3.3118522843875158</v>
      </c>
      <c r="EX166" s="86">
        <f t="shared" si="161"/>
        <v>1.352189513766842</v>
      </c>
      <c r="EY166" s="86">
        <f t="shared" si="162"/>
        <v>0.86956521739130432</v>
      </c>
      <c r="EZ166" s="83">
        <f t="shared" si="173"/>
        <v>2.879871551641318</v>
      </c>
      <c r="FA166" s="83">
        <f t="shared" si="163"/>
        <v>1.0224495378199183</v>
      </c>
      <c r="FB166" s="83">
        <f t="shared" si="164"/>
        <v>8</v>
      </c>
      <c r="FC166" s="63" t="s">
        <v>125</v>
      </c>
    </row>
    <row r="167" spans="1:159" s="82" customFormat="1" ht="17.100000000000001" customHeight="1">
      <c r="A167" s="78" t="s">
        <v>1796</v>
      </c>
      <c r="B167" s="79" t="s">
        <v>1928</v>
      </c>
      <c r="C167" s="80" t="str">
        <f t="shared" si="150"/>
        <v>Peterson, D. W., &amp; Reich, P. B.  2008.  Fire frequency and tree canopy structure influence plant species diversity in a forest-grassland ecotone. Plant Ecology. 194: 5-16.</v>
      </c>
      <c r="D167" s="158" t="s">
        <v>1468</v>
      </c>
      <c r="E167" s="99">
        <v>2008</v>
      </c>
      <c r="F167" s="158" t="s">
        <v>484</v>
      </c>
      <c r="G167" s="158" t="s">
        <v>485</v>
      </c>
      <c r="H167" s="156">
        <v>194</v>
      </c>
      <c r="I167" s="99" t="s">
        <v>486</v>
      </c>
      <c r="J167" s="79"/>
      <c r="K167" s="155" t="s">
        <v>487</v>
      </c>
      <c r="L167" s="82" t="s">
        <v>101</v>
      </c>
      <c r="M167" s="65" t="s">
        <v>73</v>
      </c>
      <c r="N167" s="63" t="s">
        <v>389</v>
      </c>
      <c r="P167" s="156" t="s">
        <v>16</v>
      </c>
      <c r="Q167" s="155" t="s">
        <v>479</v>
      </c>
      <c r="R167" s="155" t="s">
        <v>488</v>
      </c>
      <c r="S167" s="155" t="s">
        <v>1559</v>
      </c>
      <c r="T167" s="155" t="s">
        <v>480</v>
      </c>
      <c r="U167" s="155" t="s">
        <v>481</v>
      </c>
      <c r="V167" s="156">
        <v>45.42</v>
      </c>
      <c r="W167" s="99">
        <v>-93.17</v>
      </c>
      <c r="X167" s="103"/>
      <c r="Y167" s="66" t="s">
        <v>1897</v>
      </c>
      <c r="Z167" s="66" t="s">
        <v>2203</v>
      </c>
      <c r="AA167" s="97" t="s">
        <v>555</v>
      </c>
      <c r="AB167" s="79" t="s">
        <v>64</v>
      </c>
      <c r="AC167" s="79" t="s">
        <v>64</v>
      </c>
      <c r="AD167" s="82" t="s">
        <v>1268</v>
      </c>
      <c r="AF167" s="82" t="s">
        <v>86</v>
      </c>
      <c r="AG167" s="82" t="s">
        <v>92</v>
      </c>
      <c r="AH167" s="82" t="s">
        <v>106</v>
      </c>
      <c r="AI167" s="82" t="s">
        <v>93</v>
      </c>
      <c r="AJ167" s="112">
        <v>3</v>
      </c>
      <c r="AK167" s="120" t="s">
        <v>768</v>
      </c>
      <c r="AL167" s="120" t="s">
        <v>768</v>
      </c>
      <c r="AM167" s="84" t="s">
        <v>775</v>
      </c>
      <c r="AN167" s="84" t="s">
        <v>525</v>
      </c>
      <c r="AO167" s="84" t="s">
        <v>526</v>
      </c>
      <c r="AP167" s="68" t="s">
        <v>2227</v>
      </c>
      <c r="AQ167" s="82" t="s">
        <v>94</v>
      </c>
      <c r="AR167" s="86" t="s">
        <v>64</v>
      </c>
      <c r="AS167" s="86" t="s">
        <v>193</v>
      </c>
      <c r="AT167" s="86">
        <v>6</v>
      </c>
      <c r="AU167" s="90">
        <v>33</v>
      </c>
      <c r="AV167" s="88">
        <v>0.875</v>
      </c>
      <c r="AW167" s="82" t="s">
        <v>1244</v>
      </c>
      <c r="AX167" s="82" t="s">
        <v>80</v>
      </c>
      <c r="AY167" s="86">
        <v>6</v>
      </c>
      <c r="AZ167" s="86" t="s">
        <v>64</v>
      </c>
      <c r="BA167" s="86" t="s">
        <v>193</v>
      </c>
      <c r="BB167" s="86">
        <v>6</v>
      </c>
      <c r="BC167" s="82" t="s">
        <v>1242</v>
      </c>
      <c r="BD167" s="65" t="s">
        <v>124</v>
      </c>
      <c r="BE167" s="82" t="s">
        <v>182</v>
      </c>
      <c r="BF167" s="83" t="s">
        <v>386</v>
      </c>
      <c r="BG167" s="82" t="s">
        <v>21</v>
      </c>
      <c r="BH167" s="82" t="s">
        <v>22</v>
      </c>
      <c r="BI167" s="84" t="s">
        <v>489</v>
      </c>
      <c r="BJ167" s="89">
        <f t="shared" si="182"/>
        <v>16.5</v>
      </c>
      <c r="BK167" s="84" t="s">
        <v>1238</v>
      </c>
      <c r="BL167" s="84" t="s">
        <v>1239</v>
      </c>
      <c r="BM167" s="88">
        <v>1.5</v>
      </c>
      <c r="BN167" s="82" t="s">
        <v>379</v>
      </c>
      <c r="BO167" s="82" t="s">
        <v>361</v>
      </c>
      <c r="BP167" s="63" t="s">
        <v>64</v>
      </c>
      <c r="BQ167" s="179" t="s">
        <v>769</v>
      </c>
      <c r="BR167" s="82" t="s">
        <v>1631</v>
      </c>
      <c r="BS167" s="82" t="s">
        <v>2129</v>
      </c>
      <c r="BT167" s="82" t="s">
        <v>762</v>
      </c>
      <c r="BU167" s="90">
        <v>16.666666666666668</v>
      </c>
      <c r="BV167" s="90">
        <v>2.0816659994661282</v>
      </c>
      <c r="BW167" s="90">
        <v>2.0816659994661282</v>
      </c>
      <c r="BX167" s="86">
        <v>2</v>
      </c>
      <c r="BY167" s="86">
        <v>2</v>
      </c>
      <c r="BZ167" s="82" t="s">
        <v>774</v>
      </c>
      <c r="CB167" s="82" t="s">
        <v>80</v>
      </c>
      <c r="CC167" s="90">
        <v>25.166666666666668</v>
      </c>
      <c r="CD167" s="90">
        <v>7.9854033502802286</v>
      </c>
      <c r="CE167" s="90">
        <v>7.9854033502802286</v>
      </c>
      <c r="CF167" s="86">
        <v>6</v>
      </c>
      <c r="CG167" s="86">
        <v>6</v>
      </c>
      <c r="CH167" s="82" t="s">
        <v>763</v>
      </c>
      <c r="CK167" s="86"/>
      <c r="CL167" s="86"/>
      <c r="CM167" s="86"/>
      <c r="CN167" s="86"/>
      <c r="CO167" s="86"/>
      <c r="CS167" s="86"/>
      <c r="CT167" s="86"/>
      <c r="CU167" s="86"/>
      <c r="CV167" s="86"/>
      <c r="CW167" s="86"/>
      <c r="DY167" s="86"/>
      <c r="DZ167" s="86"/>
      <c r="EA167" s="86"/>
      <c r="EB167" s="86"/>
      <c r="EC167" s="86"/>
      <c r="EG167" s="86"/>
      <c r="EH167" s="86"/>
      <c r="EI167" s="86"/>
      <c r="EJ167" s="86"/>
      <c r="EK167" s="86"/>
      <c r="EN167" s="86">
        <f t="shared" si="174"/>
        <v>16.666666666666668</v>
      </c>
      <c r="EO167" s="90">
        <f t="shared" si="175"/>
        <v>2.0816659994661282</v>
      </c>
      <c r="EP167" s="86">
        <f t="shared" si="176"/>
        <v>2</v>
      </c>
      <c r="EQ167" s="86">
        <f t="shared" si="177"/>
        <v>2</v>
      </c>
      <c r="ER167" s="86">
        <f t="shared" si="178"/>
        <v>25.166666666666668</v>
      </c>
      <c r="ES167" s="90">
        <f t="shared" si="179"/>
        <v>7.9854033502802286</v>
      </c>
      <c r="ET167" s="86">
        <f t="shared" si="180"/>
        <v>6</v>
      </c>
      <c r="EU167" s="86">
        <f t="shared" si="181"/>
        <v>6</v>
      </c>
      <c r="EV167" s="86">
        <f t="shared" si="159"/>
        <v>7.3390129521013341</v>
      </c>
      <c r="EW167" s="86">
        <f t="shared" si="160"/>
        <v>-1.1581938954837581</v>
      </c>
      <c r="EX167" s="86">
        <f t="shared" si="161"/>
        <v>0.75050498538765675</v>
      </c>
      <c r="EY167" s="86">
        <f t="shared" si="162"/>
        <v>0.86956521739130432</v>
      </c>
      <c r="EZ167" s="83">
        <f t="shared" si="173"/>
        <v>-1.0071251265076158</v>
      </c>
      <c r="FA167" s="83">
        <f t="shared" si="163"/>
        <v>0.56748959197554383</v>
      </c>
      <c r="FB167" s="83">
        <f t="shared" si="164"/>
        <v>8</v>
      </c>
      <c r="FC167" s="63" t="s">
        <v>125</v>
      </c>
    </row>
    <row r="168" spans="1:159" s="82" customFormat="1" ht="17.100000000000001" customHeight="1">
      <c r="A168" s="144" t="s">
        <v>1796</v>
      </c>
      <c r="B168" s="155" t="s">
        <v>1925</v>
      </c>
      <c r="C168" s="80" t="str">
        <f t="shared" si="150"/>
        <v>Peterson, D. W., &amp; Reich, P. B.  2008.  Fire frequency and tree canopy structure influence plant species diversity in a forest-grassland ecotone. Plant Ecology. 194: 5-16.</v>
      </c>
      <c r="D168" s="158" t="s">
        <v>1468</v>
      </c>
      <c r="E168" s="99">
        <v>2008</v>
      </c>
      <c r="F168" s="158" t="s">
        <v>484</v>
      </c>
      <c r="G168" s="158" t="s">
        <v>485</v>
      </c>
      <c r="H168" s="156">
        <v>194</v>
      </c>
      <c r="I168" s="99" t="s">
        <v>486</v>
      </c>
      <c r="J168" s="79"/>
      <c r="K168" s="155" t="s">
        <v>487</v>
      </c>
      <c r="L168" s="82" t="s">
        <v>101</v>
      </c>
      <c r="M168" s="65" t="s">
        <v>73</v>
      </c>
      <c r="N168" s="63" t="s">
        <v>389</v>
      </c>
      <c r="O168" s="82" t="s">
        <v>758</v>
      </c>
      <c r="P168" s="156" t="s">
        <v>16</v>
      </c>
      <c r="Q168" s="155" t="s">
        <v>479</v>
      </c>
      <c r="R168" s="155" t="s">
        <v>488</v>
      </c>
      <c r="S168" s="155" t="s">
        <v>1559</v>
      </c>
      <c r="T168" s="155" t="s">
        <v>480</v>
      </c>
      <c r="U168" s="155" t="s">
        <v>481</v>
      </c>
      <c r="V168" s="156">
        <v>45.42</v>
      </c>
      <c r="W168" s="156">
        <v>-93.17</v>
      </c>
      <c r="X168" s="188"/>
      <c r="Y168" s="66" t="s">
        <v>1897</v>
      </c>
      <c r="Z168" s="66" t="s">
        <v>2203</v>
      </c>
      <c r="AA168" s="97" t="s">
        <v>555</v>
      </c>
      <c r="AB168" s="79" t="s">
        <v>64</v>
      </c>
      <c r="AC168" s="79" t="s">
        <v>64</v>
      </c>
      <c r="AD168" s="82" t="s">
        <v>1268</v>
      </c>
      <c r="AF168" s="82" t="s">
        <v>86</v>
      </c>
      <c r="AG168" s="82" t="s">
        <v>92</v>
      </c>
      <c r="AH168" s="82" t="s">
        <v>106</v>
      </c>
      <c r="AI168" s="82" t="s">
        <v>93</v>
      </c>
      <c r="AJ168" s="112">
        <v>2</v>
      </c>
      <c r="AK168" s="86" t="s">
        <v>764</v>
      </c>
      <c r="AL168" s="86" t="s">
        <v>764</v>
      </c>
      <c r="AM168" s="84" t="s">
        <v>775</v>
      </c>
      <c r="AN168" s="84" t="s">
        <v>525</v>
      </c>
      <c r="AO168" s="84" t="s">
        <v>526</v>
      </c>
      <c r="AP168" s="68" t="s">
        <v>2227</v>
      </c>
      <c r="AQ168" s="82" t="s">
        <v>94</v>
      </c>
      <c r="AR168" s="86" t="s">
        <v>64</v>
      </c>
      <c r="AS168" s="86" t="s">
        <v>193</v>
      </c>
      <c r="AT168" s="86">
        <v>6</v>
      </c>
      <c r="AU168" s="90">
        <v>33</v>
      </c>
      <c r="AV168" s="88">
        <v>0.25</v>
      </c>
      <c r="AW168" s="82" t="s">
        <v>765</v>
      </c>
      <c r="AX168" s="82" t="s">
        <v>80</v>
      </c>
      <c r="AY168" s="86">
        <v>6</v>
      </c>
      <c r="AZ168" s="86" t="s">
        <v>64</v>
      </c>
      <c r="BA168" s="86" t="s">
        <v>193</v>
      </c>
      <c r="BB168" s="86">
        <v>6</v>
      </c>
      <c r="BC168" s="82" t="s">
        <v>1242</v>
      </c>
      <c r="BD168" s="65" t="s">
        <v>124</v>
      </c>
      <c r="BE168" s="82" t="s">
        <v>182</v>
      </c>
      <c r="BF168" s="83" t="s">
        <v>110</v>
      </c>
      <c r="BG168" s="82" t="s">
        <v>21</v>
      </c>
      <c r="BH168" s="82" t="s">
        <v>22</v>
      </c>
      <c r="BI168" s="84" t="s">
        <v>489</v>
      </c>
      <c r="BJ168" s="89">
        <f t="shared" si="182"/>
        <v>16.5</v>
      </c>
      <c r="BK168" s="84" t="s">
        <v>1238</v>
      </c>
      <c r="BL168" s="84" t="s">
        <v>1239</v>
      </c>
      <c r="BM168" s="88">
        <v>1.5</v>
      </c>
      <c r="BN168" s="82" t="s">
        <v>379</v>
      </c>
      <c r="BO168" s="82" t="s">
        <v>361</v>
      </c>
      <c r="BP168" s="63" t="s">
        <v>64</v>
      </c>
      <c r="BQ168" s="63" t="s">
        <v>773</v>
      </c>
      <c r="BR168" s="82" t="s">
        <v>772</v>
      </c>
      <c r="BS168" s="82" t="s">
        <v>2130</v>
      </c>
      <c r="BT168" s="82" t="s">
        <v>760</v>
      </c>
      <c r="BU168" s="90">
        <v>46</v>
      </c>
      <c r="BV168" s="90">
        <v>2.8284271247461903</v>
      </c>
      <c r="BW168" s="90">
        <v>2.8284271247461903</v>
      </c>
      <c r="BX168" s="86">
        <v>2</v>
      </c>
      <c r="BY168" s="86">
        <v>2</v>
      </c>
      <c r="BZ168" s="82" t="s">
        <v>774</v>
      </c>
      <c r="CB168" s="82" t="s">
        <v>80</v>
      </c>
      <c r="CC168" s="90">
        <v>47.333333333333336</v>
      </c>
      <c r="CD168" s="90">
        <v>7.8909230554268355</v>
      </c>
      <c r="CE168" s="90">
        <v>7.8909230554268355</v>
      </c>
      <c r="CF168" s="86">
        <v>6</v>
      </c>
      <c r="CG168" s="86">
        <v>6</v>
      </c>
      <c r="CH168" s="82" t="s">
        <v>763</v>
      </c>
      <c r="CK168" s="86"/>
      <c r="CL168" s="86"/>
      <c r="CM168" s="86"/>
      <c r="CN168" s="86"/>
      <c r="CO168" s="86"/>
      <c r="CS168" s="86"/>
      <c r="CT168" s="86"/>
      <c r="CU168" s="86"/>
      <c r="CV168" s="86"/>
      <c r="CW168" s="86"/>
      <c r="DY168" s="86"/>
      <c r="DZ168" s="86"/>
      <c r="EA168" s="86"/>
      <c r="EB168" s="86"/>
      <c r="EC168" s="86"/>
      <c r="EG168" s="86"/>
      <c r="EH168" s="86"/>
      <c r="EI168" s="86"/>
      <c r="EJ168" s="86"/>
      <c r="EK168" s="86"/>
      <c r="EN168" s="86">
        <f t="shared" si="174"/>
        <v>46</v>
      </c>
      <c r="EO168" s="90">
        <f t="shared" si="175"/>
        <v>2.8284271247461903</v>
      </c>
      <c r="EP168" s="86">
        <f t="shared" si="176"/>
        <v>2</v>
      </c>
      <c r="EQ168" s="86">
        <f t="shared" si="177"/>
        <v>2</v>
      </c>
      <c r="ER168" s="86">
        <f t="shared" si="178"/>
        <v>47.333333333333336</v>
      </c>
      <c r="ES168" s="90">
        <f t="shared" si="179"/>
        <v>7.8909230554268355</v>
      </c>
      <c r="ET168" s="86">
        <f t="shared" si="180"/>
        <v>6</v>
      </c>
      <c r="EU168" s="86">
        <f t="shared" si="181"/>
        <v>6</v>
      </c>
      <c r="EV168" s="86">
        <f t="shared" si="159"/>
        <v>7.2953562094131028</v>
      </c>
      <c r="EW168" s="86">
        <f t="shared" si="160"/>
        <v>-0.18276466495398169</v>
      </c>
      <c r="EX168" s="86">
        <f t="shared" si="161"/>
        <v>0.66875434933890043</v>
      </c>
      <c r="EY168" s="86">
        <f t="shared" si="162"/>
        <v>0.86956521739130432</v>
      </c>
      <c r="EZ168" s="83">
        <f t="shared" si="173"/>
        <v>-0.158925795612158</v>
      </c>
      <c r="FA168" s="83">
        <f t="shared" si="163"/>
        <v>0.50567436622979234</v>
      </c>
      <c r="FB168" s="83">
        <f t="shared" si="164"/>
        <v>8</v>
      </c>
      <c r="FC168" s="63" t="s">
        <v>125</v>
      </c>
    </row>
    <row r="169" spans="1:159" s="82" customFormat="1" ht="17.100000000000001" customHeight="1">
      <c r="A169" s="144" t="s">
        <v>1796</v>
      </c>
      <c r="B169" s="155" t="s">
        <v>1926</v>
      </c>
      <c r="C169" s="80" t="str">
        <f t="shared" si="150"/>
        <v>Peterson, D. W., &amp; Reich, P. B.  2008.  Fire frequency and tree canopy structure influence plant species diversity in a forest-grassland ecotone. Plant Ecology. 194: 5-16.</v>
      </c>
      <c r="D169" s="158" t="s">
        <v>1468</v>
      </c>
      <c r="E169" s="99">
        <v>2008</v>
      </c>
      <c r="F169" s="158" t="s">
        <v>484</v>
      </c>
      <c r="G169" s="158" t="s">
        <v>485</v>
      </c>
      <c r="H169" s="156">
        <v>194</v>
      </c>
      <c r="I169" s="99" t="s">
        <v>486</v>
      </c>
      <c r="J169" s="79"/>
      <c r="K169" s="155" t="s">
        <v>487</v>
      </c>
      <c r="L169" s="82" t="s">
        <v>101</v>
      </c>
      <c r="M169" s="65" t="s">
        <v>73</v>
      </c>
      <c r="N169" s="63" t="s">
        <v>389</v>
      </c>
      <c r="P169" s="156" t="s">
        <v>16</v>
      </c>
      <c r="Q169" s="155" t="s">
        <v>479</v>
      </c>
      <c r="R169" s="155" t="s">
        <v>488</v>
      </c>
      <c r="S169" s="155" t="s">
        <v>1559</v>
      </c>
      <c r="T169" s="155" t="s">
        <v>480</v>
      </c>
      <c r="U169" s="155" t="s">
        <v>481</v>
      </c>
      <c r="V169" s="156">
        <v>45.42</v>
      </c>
      <c r="W169" s="156">
        <v>-93.17</v>
      </c>
      <c r="X169" s="188"/>
      <c r="Y169" s="66" t="s">
        <v>1897</v>
      </c>
      <c r="Z169" s="66" t="s">
        <v>2203</v>
      </c>
      <c r="AA169" s="97" t="s">
        <v>555</v>
      </c>
      <c r="AB169" s="79" t="s">
        <v>64</v>
      </c>
      <c r="AC169" s="79" t="s">
        <v>64</v>
      </c>
      <c r="AD169" s="82" t="s">
        <v>1268</v>
      </c>
      <c r="AF169" s="82" t="s">
        <v>86</v>
      </c>
      <c r="AG169" s="82" t="s">
        <v>92</v>
      </c>
      <c r="AH169" s="82" t="s">
        <v>106</v>
      </c>
      <c r="AI169" s="82" t="s">
        <v>93</v>
      </c>
      <c r="AJ169" s="112">
        <v>9</v>
      </c>
      <c r="AK169" s="120" t="s">
        <v>766</v>
      </c>
      <c r="AL169" s="120" t="s">
        <v>766</v>
      </c>
      <c r="AM169" s="84" t="s">
        <v>775</v>
      </c>
      <c r="AN169" s="84" t="s">
        <v>525</v>
      </c>
      <c r="AO169" s="84" t="s">
        <v>526</v>
      </c>
      <c r="AP169" s="68" t="s">
        <v>2227</v>
      </c>
      <c r="AQ169" s="82" t="s">
        <v>94</v>
      </c>
      <c r="AR169" s="86" t="s">
        <v>64</v>
      </c>
      <c r="AS169" s="86" t="s">
        <v>193</v>
      </c>
      <c r="AT169" s="86">
        <v>6</v>
      </c>
      <c r="AU169" s="90">
        <v>33</v>
      </c>
      <c r="AV169" s="88">
        <v>0.375</v>
      </c>
      <c r="AW169" s="82" t="s">
        <v>1241</v>
      </c>
      <c r="AX169" s="82" t="s">
        <v>80</v>
      </c>
      <c r="AY169" s="86">
        <v>6</v>
      </c>
      <c r="AZ169" s="86" t="s">
        <v>64</v>
      </c>
      <c r="BA169" s="86" t="s">
        <v>193</v>
      </c>
      <c r="BB169" s="86">
        <v>6</v>
      </c>
      <c r="BC169" s="82" t="s">
        <v>1242</v>
      </c>
      <c r="BD169" s="65" t="s">
        <v>124</v>
      </c>
      <c r="BE169" s="82" t="s">
        <v>182</v>
      </c>
      <c r="BF169" s="83" t="s">
        <v>110</v>
      </c>
      <c r="BG169" s="82" t="s">
        <v>21</v>
      </c>
      <c r="BH169" s="82" t="s">
        <v>22</v>
      </c>
      <c r="BI169" s="84" t="s">
        <v>489</v>
      </c>
      <c r="BJ169" s="89">
        <f t="shared" si="182"/>
        <v>16.5</v>
      </c>
      <c r="BK169" s="84" t="s">
        <v>1238</v>
      </c>
      <c r="BL169" s="84" t="s">
        <v>1239</v>
      </c>
      <c r="BM169" s="88">
        <v>1.5</v>
      </c>
      <c r="BN169" s="82" t="s">
        <v>379</v>
      </c>
      <c r="BO169" s="82" t="s">
        <v>361</v>
      </c>
      <c r="BP169" s="63" t="s">
        <v>64</v>
      </c>
      <c r="BQ169" s="63" t="s">
        <v>773</v>
      </c>
      <c r="BR169" s="82" t="s">
        <v>772</v>
      </c>
      <c r="BS169" s="82" t="s">
        <v>2130</v>
      </c>
      <c r="BT169" s="82" t="s">
        <v>759</v>
      </c>
      <c r="BU169" s="90">
        <v>62.833333333333336</v>
      </c>
      <c r="BV169" s="90">
        <v>6.4614239916600429</v>
      </c>
      <c r="BW169" s="90">
        <v>6.4614239916600429</v>
      </c>
      <c r="BX169" s="86">
        <v>9</v>
      </c>
      <c r="BY169" s="86">
        <v>9</v>
      </c>
      <c r="BZ169" s="82" t="s">
        <v>774</v>
      </c>
      <c r="CB169" s="82" t="s">
        <v>80</v>
      </c>
      <c r="CC169" s="90">
        <v>47.333333333333336</v>
      </c>
      <c r="CD169" s="90">
        <v>7.8909230554268355</v>
      </c>
      <c r="CE169" s="90">
        <v>7.8909230554268355</v>
      </c>
      <c r="CF169" s="86">
        <v>6</v>
      </c>
      <c r="CG169" s="86">
        <v>6</v>
      </c>
      <c r="CH169" s="82" t="s">
        <v>763</v>
      </c>
      <c r="CK169" s="86"/>
      <c r="CL169" s="86"/>
      <c r="CM169" s="86"/>
      <c r="CN169" s="86"/>
      <c r="CO169" s="86"/>
      <c r="CS169" s="115"/>
      <c r="CT169" s="115"/>
      <c r="CU169" s="115"/>
      <c r="CV169" s="86"/>
      <c r="CW169" s="86"/>
      <c r="DY169" s="86"/>
      <c r="DZ169" s="86"/>
      <c r="EA169" s="86"/>
      <c r="EB169" s="86"/>
      <c r="EC169" s="86"/>
      <c r="EG169" s="86"/>
      <c r="EH169" s="86"/>
      <c r="EI169" s="86"/>
      <c r="EJ169" s="86"/>
      <c r="EK169" s="86"/>
      <c r="EN169" s="86">
        <f t="shared" si="174"/>
        <v>62.833333333333336</v>
      </c>
      <c r="EO169" s="90">
        <f t="shared" si="175"/>
        <v>6.4614239916600429</v>
      </c>
      <c r="EP169" s="86">
        <f t="shared" si="176"/>
        <v>9</v>
      </c>
      <c r="EQ169" s="86">
        <f t="shared" si="177"/>
        <v>9</v>
      </c>
      <c r="ER169" s="86">
        <f t="shared" si="178"/>
        <v>47.333333333333336</v>
      </c>
      <c r="ES169" s="90">
        <f t="shared" si="179"/>
        <v>7.8909230554268355</v>
      </c>
      <c r="ET169" s="86">
        <f t="shared" si="180"/>
        <v>6</v>
      </c>
      <c r="EU169" s="86">
        <f t="shared" si="181"/>
        <v>6</v>
      </c>
      <c r="EV169" s="86">
        <f t="shared" si="159"/>
        <v>7.0456387674238368</v>
      </c>
      <c r="EW169" s="86">
        <f t="shared" si="160"/>
        <v>2.1999424767085256</v>
      </c>
      <c r="EX169" s="86">
        <f t="shared" si="161"/>
        <v>0.43910267447199253</v>
      </c>
      <c r="EY169" s="86">
        <f t="shared" si="162"/>
        <v>0.94117647058823528</v>
      </c>
      <c r="EZ169" s="83">
        <f t="shared" si="173"/>
        <v>2.0705340957256713</v>
      </c>
      <c r="FA169" s="83">
        <f t="shared" si="163"/>
        <v>0.38896292271567506</v>
      </c>
      <c r="FB169" s="83">
        <f t="shared" si="164"/>
        <v>15</v>
      </c>
      <c r="FC169" s="63" t="s">
        <v>125</v>
      </c>
    </row>
    <row r="170" spans="1:159" ht="17.100000000000001" customHeight="1">
      <c r="A170" s="144" t="s">
        <v>1796</v>
      </c>
      <c r="B170" s="155" t="s">
        <v>1927</v>
      </c>
      <c r="C170" s="80" t="str">
        <f t="shared" si="150"/>
        <v>Peterson, D. W., &amp; Reich, P. B.  2008.  Fire frequency and tree canopy structure influence plant species diversity in a forest-grassland ecotone. Plant Ecology. 194: 5-16.</v>
      </c>
      <c r="D170" s="158" t="s">
        <v>1468</v>
      </c>
      <c r="E170" s="99">
        <v>2008</v>
      </c>
      <c r="F170" s="158" t="s">
        <v>484</v>
      </c>
      <c r="G170" s="158" t="s">
        <v>485</v>
      </c>
      <c r="H170" s="156">
        <v>194</v>
      </c>
      <c r="I170" s="99" t="s">
        <v>486</v>
      </c>
      <c r="J170" s="79"/>
      <c r="K170" s="155" t="s">
        <v>487</v>
      </c>
      <c r="L170" s="82" t="s">
        <v>101</v>
      </c>
      <c r="M170" s="65" t="s">
        <v>73</v>
      </c>
      <c r="N170" s="63" t="s">
        <v>389</v>
      </c>
      <c r="O170" s="82"/>
      <c r="P170" s="156" t="s">
        <v>16</v>
      </c>
      <c r="Q170" s="155" t="s">
        <v>479</v>
      </c>
      <c r="R170" s="155" t="s">
        <v>488</v>
      </c>
      <c r="S170" s="155" t="s">
        <v>1559</v>
      </c>
      <c r="T170" s="155" t="s">
        <v>480</v>
      </c>
      <c r="U170" s="155" t="s">
        <v>481</v>
      </c>
      <c r="V170" s="156">
        <v>45.42</v>
      </c>
      <c r="W170" s="156">
        <v>-93.17</v>
      </c>
      <c r="X170" s="188"/>
      <c r="Y170" s="66" t="s">
        <v>1897</v>
      </c>
      <c r="Z170" s="66" t="s">
        <v>2203</v>
      </c>
      <c r="AA170" s="97" t="s">
        <v>555</v>
      </c>
      <c r="AB170" s="79" t="s">
        <v>64</v>
      </c>
      <c r="AC170" s="79" t="s">
        <v>64</v>
      </c>
      <c r="AD170" s="82" t="s">
        <v>1268</v>
      </c>
      <c r="AE170" s="82"/>
      <c r="AF170" s="82" t="s">
        <v>86</v>
      </c>
      <c r="AG170" s="82" t="s">
        <v>92</v>
      </c>
      <c r="AH170" s="82" t="s">
        <v>106</v>
      </c>
      <c r="AI170" s="82" t="s">
        <v>93</v>
      </c>
      <c r="AJ170" s="112">
        <v>2</v>
      </c>
      <c r="AK170" s="120" t="s">
        <v>767</v>
      </c>
      <c r="AL170" s="120" t="s">
        <v>767</v>
      </c>
      <c r="AM170" s="84" t="s">
        <v>775</v>
      </c>
      <c r="AN170" s="84" t="s">
        <v>525</v>
      </c>
      <c r="AO170" s="84" t="s">
        <v>526</v>
      </c>
      <c r="AP170" s="68" t="s">
        <v>2227</v>
      </c>
      <c r="AQ170" s="82" t="s">
        <v>94</v>
      </c>
      <c r="AR170" s="86" t="s">
        <v>64</v>
      </c>
      <c r="AS170" s="86" t="s">
        <v>193</v>
      </c>
      <c r="AT170" s="86">
        <v>6</v>
      </c>
      <c r="AU170" s="90">
        <v>33</v>
      </c>
      <c r="AV170" s="88">
        <v>0.625</v>
      </c>
      <c r="AW170" s="82" t="s">
        <v>765</v>
      </c>
      <c r="AX170" s="82" t="s">
        <v>80</v>
      </c>
      <c r="AY170" s="86">
        <v>6</v>
      </c>
      <c r="AZ170" s="86" t="s">
        <v>64</v>
      </c>
      <c r="BA170" s="86" t="s">
        <v>193</v>
      </c>
      <c r="BB170" s="86">
        <v>6</v>
      </c>
      <c r="BC170" s="82" t="s">
        <v>1242</v>
      </c>
      <c r="BD170" s="65" t="s">
        <v>124</v>
      </c>
      <c r="BE170" s="82" t="s">
        <v>182</v>
      </c>
      <c r="BF170" s="83" t="s">
        <v>110</v>
      </c>
      <c r="BG170" s="82" t="s">
        <v>21</v>
      </c>
      <c r="BH170" s="82" t="s">
        <v>22</v>
      </c>
      <c r="BI170" s="84" t="s">
        <v>489</v>
      </c>
      <c r="BJ170" s="89">
        <f t="shared" si="182"/>
        <v>16.5</v>
      </c>
      <c r="BK170" s="84" t="s">
        <v>1238</v>
      </c>
      <c r="BL170" s="84" t="s">
        <v>1239</v>
      </c>
      <c r="BM170" s="88">
        <v>1.5</v>
      </c>
      <c r="BN170" s="82" t="s">
        <v>379</v>
      </c>
      <c r="BO170" s="82" t="s">
        <v>361</v>
      </c>
      <c r="BP170" s="63" t="s">
        <v>64</v>
      </c>
      <c r="BQ170" s="63" t="s">
        <v>773</v>
      </c>
      <c r="BR170" s="82" t="s">
        <v>772</v>
      </c>
      <c r="BS170" s="82" t="s">
        <v>2130</v>
      </c>
      <c r="BT170" s="82" t="s">
        <v>761</v>
      </c>
      <c r="BU170" s="90">
        <v>64.5</v>
      </c>
      <c r="BV170" s="90">
        <v>9.1923881554251174</v>
      </c>
      <c r="BW170" s="90">
        <v>9.1923881554251174</v>
      </c>
      <c r="BX170" s="86">
        <v>2</v>
      </c>
      <c r="BY170" s="86">
        <v>2</v>
      </c>
      <c r="BZ170" s="82" t="s">
        <v>774</v>
      </c>
      <c r="CA170" s="82"/>
      <c r="CB170" s="82" t="s">
        <v>80</v>
      </c>
      <c r="CC170" s="90">
        <v>47.333333333333336</v>
      </c>
      <c r="CD170" s="90">
        <v>7.8909230554268355</v>
      </c>
      <c r="CE170" s="90">
        <v>7.8909230554268355</v>
      </c>
      <c r="CF170" s="86">
        <v>6</v>
      </c>
      <c r="CG170" s="86">
        <v>6</v>
      </c>
      <c r="CH170" s="82" t="s">
        <v>763</v>
      </c>
      <c r="CI170" s="82"/>
      <c r="CJ170" s="82"/>
      <c r="CK170" s="86"/>
      <c r="CL170" s="86"/>
      <c r="CM170" s="86"/>
      <c r="CN170" s="86"/>
      <c r="CO170" s="86"/>
      <c r="CP170" s="82"/>
      <c r="CQ170" s="82"/>
      <c r="CR170" s="82"/>
      <c r="CS170" s="86"/>
      <c r="CT170" s="86"/>
      <c r="CU170" s="86"/>
      <c r="CV170" s="86"/>
      <c r="CW170" s="86"/>
      <c r="CX170" s="82"/>
      <c r="CY170" s="82"/>
      <c r="CZ170" s="82"/>
      <c r="DA170" s="82"/>
      <c r="DB170" s="82"/>
      <c r="DC170" s="82"/>
      <c r="DD170" s="82"/>
      <c r="DE170" s="82"/>
      <c r="DF170" s="82"/>
      <c r="DG170" s="82"/>
      <c r="DH170" s="82"/>
      <c r="DI170" s="82"/>
      <c r="DJ170" s="82"/>
      <c r="DK170" s="82"/>
      <c r="DL170" s="82"/>
      <c r="DM170" s="82"/>
      <c r="DN170" s="82"/>
      <c r="DO170" s="82"/>
      <c r="DP170" s="82"/>
      <c r="DQ170" s="82"/>
      <c r="DR170" s="82"/>
      <c r="DS170" s="82"/>
      <c r="DT170" s="82"/>
      <c r="DU170" s="82"/>
      <c r="DV170" s="82"/>
      <c r="DW170" s="82"/>
      <c r="DX170" s="82"/>
      <c r="DY170" s="86"/>
      <c r="DZ170" s="86"/>
      <c r="EA170" s="86"/>
      <c r="EB170" s="86"/>
      <c r="EC170" s="86"/>
      <c r="ED170" s="82"/>
      <c r="EE170" s="82"/>
      <c r="EF170" s="82"/>
      <c r="EG170" s="86"/>
      <c r="EH170" s="86"/>
      <c r="EI170" s="86"/>
      <c r="EJ170" s="86"/>
      <c r="EK170" s="86"/>
      <c r="EL170" s="82"/>
      <c r="EM170" s="82"/>
      <c r="EN170" s="86">
        <f t="shared" si="174"/>
        <v>64.5</v>
      </c>
      <c r="EO170" s="90">
        <f t="shared" si="175"/>
        <v>9.1923881554251174</v>
      </c>
      <c r="EP170" s="86">
        <f t="shared" si="176"/>
        <v>2</v>
      </c>
      <c r="EQ170" s="86">
        <f t="shared" si="177"/>
        <v>2</v>
      </c>
      <c r="ER170" s="86">
        <f t="shared" si="178"/>
        <v>47.333333333333336</v>
      </c>
      <c r="ES170" s="90">
        <f t="shared" si="179"/>
        <v>7.8909230554268355</v>
      </c>
      <c r="ET170" s="86">
        <f t="shared" si="180"/>
        <v>6</v>
      </c>
      <c r="EU170" s="86">
        <f t="shared" si="181"/>
        <v>6</v>
      </c>
      <c r="EV170" s="86">
        <f t="shared" si="159"/>
        <v>8.1223286206741427</v>
      </c>
      <c r="EW170" s="86">
        <f t="shared" si="160"/>
        <v>2.1135154052954155</v>
      </c>
      <c r="EX170" s="86">
        <f t="shared" si="161"/>
        <v>0.94585087719298189</v>
      </c>
      <c r="EY170" s="86">
        <f t="shared" si="162"/>
        <v>0.86956521739130432</v>
      </c>
      <c r="EZ170" s="83">
        <f t="shared" si="173"/>
        <v>1.8378394828655786</v>
      </c>
      <c r="FA170" s="83">
        <f t="shared" si="163"/>
        <v>0.71519915099658371</v>
      </c>
      <c r="FB170" s="83">
        <f t="shared" si="164"/>
        <v>8</v>
      </c>
      <c r="FC170" s="63" t="s">
        <v>125</v>
      </c>
    </row>
    <row r="171" spans="1:159" s="82" customFormat="1" ht="17.100000000000001" customHeight="1">
      <c r="A171" s="144" t="s">
        <v>1796</v>
      </c>
      <c r="B171" s="155" t="s">
        <v>1928</v>
      </c>
      <c r="C171" s="80" t="str">
        <f t="shared" si="150"/>
        <v>Peterson, D. W., &amp; Reich, P. B.  2008.  Fire frequency and tree canopy structure influence plant species diversity in a forest-grassland ecotone. Plant Ecology. 194: 5-16.</v>
      </c>
      <c r="D171" s="158" t="s">
        <v>1468</v>
      </c>
      <c r="E171" s="99">
        <v>2008</v>
      </c>
      <c r="F171" s="158" t="s">
        <v>484</v>
      </c>
      <c r="G171" s="158" t="s">
        <v>485</v>
      </c>
      <c r="H171" s="156">
        <v>194</v>
      </c>
      <c r="I171" s="99" t="s">
        <v>486</v>
      </c>
      <c r="J171" s="79"/>
      <c r="K171" s="155" t="s">
        <v>487</v>
      </c>
      <c r="L171" s="82" t="s">
        <v>101</v>
      </c>
      <c r="M171" s="65" t="s">
        <v>73</v>
      </c>
      <c r="N171" s="63" t="s">
        <v>389</v>
      </c>
      <c r="P171" s="156" t="s">
        <v>16</v>
      </c>
      <c r="Q171" s="155" t="s">
        <v>479</v>
      </c>
      <c r="R171" s="155" t="s">
        <v>488</v>
      </c>
      <c r="S171" s="155" t="s">
        <v>1559</v>
      </c>
      <c r="T171" s="155" t="s">
        <v>480</v>
      </c>
      <c r="U171" s="155" t="s">
        <v>481</v>
      </c>
      <c r="V171" s="156">
        <v>45.42</v>
      </c>
      <c r="W171" s="99">
        <v>-93.17</v>
      </c>
      <c r="X171" s="103"/>
      <c r="Y171" s="66" t="s">
        <v>1897</v>
      </c>
      <c r="Z171" s="66" t="s">
        <v>2203</v>
      </c>
      <c r="AA171" s="97" t="s">
        <v>555</v>
      </c>
      <c r="AB171" s="79" t="s">
        <v>64</v>
      </c>
      <c r="AC171" s="79" t="s">
        <v>64</v>
      </c>
      <c r="AD171" s="82" t="s">
        <v>1268</v>
      </c>
      <c r="AF171" s="82" t="s">
        <v>86</v>
      </c>
      <c r="AG171" s="82" t="s">
        <v>92</v>
      </c>
      <c r="AH171" s="82" t="s">
        <v>106</v>
      </c>
      <c r="AI171" s="82" t="s">
        <v>93</v>
      </c>
      <c r="AJ171" s="112">
        <v>3</v>
      </c>
      <c r="AK171" s="120" t="s">
        <v>768</v>
      </c>
      <c r="AL171" s="120" t="s">
        <v>768</v>
      </c>
      <c r="AM171" s="84" t="s">
        <v>775</v>
      </c>
      <c r="AN171" s="84" t="s">
        <v>525</v>
      </c>
      <c r="AO171" s="84" t="s">
        <v>526</v>
      </c>
      <c r="AP171" s="68" t="s">
        <v>2227</v>
      </c>
      <c r="AQ171" s="82" t="s">
        <v>94</v>
      </c>
      <c r="AR171" s="86" t="s">
        <v>64</v>
      </c>
      <c r="AS171" s="86" t="s">
        <v>193</v>
      </c>
      <c r="AT171" s="86">
        <v>6</v>
      </c>
      <c r="AU171" s="90">
        <v>33</v>
      </c>
      <c r="AV171" s="88">
        <v>0.875</v>
      </c>
      <c r="AW171" s="82" t="s">
        <v>1244</v>
      </c>
      <c r="AX171" s="82" t="s">
        <v>80</v>
      </c>
      <c r="AY171" s="86">
        <v>6</v>
      </c>
      <c r="AZ171" s="86" t="s">
        <v>64</v>
      </c>
      <c r="BA171" s="86" t="s">
        <v>193</v>
      </c>
      <c r="BB171" s="86">
        <v>6</v>
      </c>
      <c r="BC171" s="82" t="s">
        <v>1242</v>
      </c>
      <c r="BD171" s="65" t="s">
        <v>124</v>
      </c>
      <c r="BE171" s="82" t="s">
        <v>182</v>
      </c>
      <c r="BF171" s="83" t="s">
        <v>110</v>
      </c>
      <c r="BG171" s="82" t="s">
        <v>21</v>
      </c>
      <c r="BH171" s="82" t="s">
        <v>22</v>
      </c>
      <c r="BI171" s="84" t="s">
        <v>489</v>
      </c>
      <c r="BJ171" s="89">
        <f t="shared" si="182"/>
        <v>16.5</v>
      </c>
      <c r="BK171" s="84" t="s">
        <v>1238</v>
      </c>
      <c r="BL171" s="84" t="s">
        <v>1239</v>
      </c>
      <c r="BM171" s="88">
        <v>1.5</v>
      </c>
      <c r="BN171" s="82" t="s">
        <v>379</v>
      </c>
      <c r="BO171" s="82" t="s">
        <v>361</v>
      </c>
      <c r="BP171" s="63" t="s">
        <v>64</v>
      </c>
      <c r="BQ171" s="63" t="s">
        <v>773</v>
      </c>
      <c r="BR171" s="82" t="s">
        <v>772</v>
      </c>
      <c r="BS171" s="82" t="s">
        <v>2130</v>
      </c>
      <c r="BT171" s="82" t="s">
        <v>762</v>
      </c>
      <c r="BU171" s="90">
        <v>57</v>
      </c>
      <c r="BV171" s="90">
        <v>1.4142135623730951</v>
      </c>
      <c r="BW171" s="90">
        <v>1.4142135623730951</v>
      </c>
      <c r="BX171" s="86">
        <v>2</v>
      </c>
      <c r="BY171" s="86">
        <v>2</v>
      </c>
      <c r="BZ171" s="82" t="s">
        <v>774</v>
      </c>
      <c r="CB171" s="82" t="s">
        <v>80</v>
      </c>
      <c r="CC171" s="90">
        <v>47.333333333333336</v>
      </c>
      <c r="CD171" s="90">
        <v>7.8909230554268355</v>
      </c>
      <c r="CE171" s="90">
        <v>7.8909230554268355</v>
      </c>
      <c r="CF171" s="86">
        <v>6</v>
      </c>
      <c r="CG171" s="86">
        <v>6</v>
      </c>
      <c r="CH171" s="82" t="s">
        <v>763</v>
      </c>
      <c r="CK171" s="86"/>
      <c r="CL171" s="86"/>
      <c r="CM171" s="86"/>
      <c r="CN171" s="86"/>
      <c r="CO171" s="86"/>
      <c r="CS171" s="86"/>
      <c r="CT171" s="86"/>
      <c r="CU171" s="86"/>
      <c r="CV171" s="86"/>
      <c r="CW171" s="86"/>
      <c r="DY171" s="86"/>
      <c r="DZ171" s="86"/>
      <c r="EA171" s="86"/>
      <c r="EB171" s="86"/>
      <c r="EC171" s="86"/>
      <c r="EG171" s="86"/>
      <c r="EH171" s="86"/>
      <c r="EI171" s="86"/>
      <c r="EJ171" s="86"/>
      <c r="EK171" s="86"/>
      <c r="EN171" s="86">
        <f t="shared" si="174"/>
        <v>57</v>
      </c>
      <c r="EO171" s="90">
        <f t="shared" si="175"/>
        <v>1.4142135623730951</v>
      </c>
      <c r="EP171" s="86">
        <f t="shared" si="176"/>
        <v>2</v>
      </c>
      <c r="EQ171" s="86">
        <f t="shared" si="177"/>
        <v>2</v>
      </c>
      <c r="ER171" s="86">
        <f t="shared" si="178"/>
        <v>47.333333333333336</v>
      </c>
      <c r="ES171" s="90">
        <f t="shared" si="179"/>
        <v>7.8909230554268355</v>
      </c>
      <c r="ET171" s="86">
        <f t="shared" si="180"/>
        <v>6</v>
      </c>
      <c r="EU171" s="86">
        <f t="shared" si="181"/>
        <v>6</v>
      </c>
      <c r="EV171" s="86">
        <f t="shared" si="159"/>
        <v>7.2264944628929397</v>
      </c>
      <c r="EW171" s="86">
        <f t="shared" si="160"/>
        <v>1.3376702516418819</v>
      </c>
      <c r="EX171" s="86">
        <f t="shared" si="161"/>
        <v>0.77850177304964507</v>
      </c>
      <c r="EY171" s="86">
        <f t="shared" si="162"/>
        <v>0.86956521739130432</v>
      </c>
      <c r="EZ171" s="83">
        <f t="shared" si="173"/>
        <v>1.1631915231668537</v>
      </c>
      <c r="FA171" s="83">
        <f t="shared" si="163"/>
        <v>0.5886591856708091</v>
      </c>
      <c r="FB171" s="83">
        <f t="shared" si="164"/>
        <v>8</v>
      </c>
      <c r="FC171" s="63" t="s">
        <v>125</v>
      </c>
    </row>
    <row r="172" spans="1:159" s="84" customFormat="1" ht="17.100000000000001" customHeight="1">
      <c r="A172" s="144" t="s">
        <v>1797</v>
      </c>
      <c r="B172" s="156" t="s">
        <v>1921</v>
      </c>
      <c r="C172" s="80" t="str">
        <f t="shared" si="150"/>
        <v>Raybuck, A. L., Moorman, C. E., Greenberg, C. H., DePerno, C. S., Gross, K., Simon, D. M., &amp; Warburton, G. S.  2012.  Short-term response of small mammals following oak regeneration silviculture treatments. Forest Ecology and Management. 274: 10-16.</v>
      </c>
      <c r="D172" s="99" t="s">
        <v>1469</v>
      </c>
      <c r="E172" s="99">
        <v>2012</v>
      </c>
      <c r="F172" s="99" t="s">
        <v>548</v>
      </c>
      <c r="G172" s="99" t="s">
        <v>20</v>
      </c>
      <c r="H172" s="99">
        <v>274</v>
      </c>
      <c r="I172" s="99" t="s">
        <v>549</v>
      </c>
      <c r="J172" s="81" t="s">
        <v>1817</v>
      </c>
      <c r="K172" s="156" t="s">
        <v>550</v>
      </c>
      <c r="L172" s="84" t="s">
        <v>18</v>
      </c>
      <c r="M172" s="95" t="s">
        <v>164</v>
      </c>
      <c r="N172" s="84" t="s">
        <v>389</v>
      </c>
      <c r="P172" s="156" t="s">
        <v>16</v>
      </c>
      <c r="Q172" s="156" t="s">
        <v>551</v>
      </c>
      <c r="R172" s="156" t="s">
        <v>552</v>
      </c>
      <c r="S172" s="156"/>
      <c r="T172" s="156" t="s">
        <v>553</v>
      </c>
      <c r="U172" s="156" t="s">
        <v>554</v>
      </c>
      <c r="V172" s="156">
        <v>35.4</v>
      </c>
      <c r="W172" s="99">
        <v>-82.9</v>
      </c>
      <c r="X172" s="99" t="s">
        <v>631</v>
      </c>
      <c r="Y172" s="66" t="s">
        <v>1898</v>
      </c>
      <c r="Z172" s="66" t="s">
        <v>2202</v>
      </c>
      <c r="AA172" s="97" t="s">
        <v>555</v>
      </c>
      <c r="AB172" s="82" t="s">
        <v>237</v>
      </c>
      <c r="AC172" s="81" t="s">
        <v>137</v>
      </c>
      <c r="AD172" s="84" t="s">
        <v>64</v>
      </c>
      <c r="AE172" s="84" t="s">
        <v>556</v>
      </c>
      <c r="AF172" s="63" t="s">
        <v>86</v>
      </c>
      <c r="AG172" s="84" t="s">
        <v>92</v>
      </c>
      <c r="AH172" s="84" t="s">
        <v>106</v>
      </c>
      <c r="AI172" s="84" t="s">
        <v>93</v>
      </c>
      <c r="AJ172" s="86">
        <v>2</v>
      </c>
      <c r="AK172" s="86" t="s">
        <v>557</v>
      </c>
      <c r="AL172" s="86">
        <v>1</v>
      </c>
      <c r="AM172" s="84" t="s">
        <v>558</v>
      </c>
      <c r="AN172" s="84" t="s">
        <v>829</v>
      </c>
      <c r="AO172" s="84" t="s">
        <v>526</v>
      </c>
      <c r="AP172" s="68" t="s">
        <v>2227</v>
      </c>
      <c r="AQ172" s="84" t="s">
        <v>88</v>
      </c>
      <c r="AR172" s="86">
        <v>1</v>
      </c>
      <c r="AS172" s="86" t="s">
        <v>559</v>
      </c>
      <c r="AT172" s="86"/>
      <c r="AU172" s="90"/>
      <c r="AV172" s="88">
        <v>0.82758620689655182</v>
      </c>
      <c r="AW172" s="84" t="s">
        <v>1247</v>
      </c>
      <c r="AX172" s="84" t="s">
        <v>80</v>
      </c>
      <c r="AY172" s="86">
        <v>5</v>
      </c>
      <c r="AZ172" s="86">
        <v>1</v>
      </c>
      <c r="BA172" s="86">
        <v>60</v>
      </c>
      <c r="BB172" s="86"/>
      <c r="BC172" s="84" t="s">
        <v>1346</v>
      </c>
      <c r="BD172" s="93" t="s">
        <v>124</v>
      </c>
      <c r="BE172" s="84" t="s">
        <v>182</v>
      </c>
      <c r="BF172" s="93" t="s">
        <v>116</v>
      </c>
      <c r="BG172" s="84" t="s">
        <v>21</v>
      </c>
      <c r="BH172" s="84" t="s">
        <v>81</v>
      </c>
      <c r="BI172" s="84" t="s">
        <v>560</v>
      </c>
      <c r="BJ172" s="89">
        <f>14.5/12</f>
        <v>1.2083333333333333</v>
      </c>
      <c r="BK172" s="84" t="s">
        <v>1249</v>
      </c>
      <c r="BL172" s="84" t="s">
        <v>1249</v>
      </c>
      <c r="BM172" s="88">
        <v>1.2083333333333333</v>
      </c>
      <c r="BN172" s="84" t="s">
        <v>389</v>
      </c>
      <c r="BO172" s="84" t="s">
        <v>561</v>
      </c>
      <c r="BP172" s="84" t="s">
        <v>64</v>
      </c>
      <c r="BR172" s="84" t="s">
        <v>1632</v>
      </c>
      <c r="BS172" s="84" t="s">
        <v>2131</v>
      </c>
      <c r="BU172" s="86"/>
      <c r="BV172" s="86"/>
      <c r="BW172" s="90"/>
      <c r="BX172" s="86"/>
      <c r="BY172" s="86"/>
      <c r="CC172" s="86"/>
      <c r="CD172" s="86"/>
      <c r="CE172" s="90"/>
      <c r="CF172" s="86"/>
      <c r="CG172" s="86"/>
      <c r="CK172" s="86"/>
      <c r="CL172" s="86"/>
      <c r="CM172" s="86"/>
      <c r="CN172" s="86"/>
      <c r="CO172" s="86"/>
      <c r="CR172" s="84" t="s">
        <v>572</v>
      </c>
      <c r="CS172" s="86">
        <v>2.5</v>
      </c>
      <c r="CT172" s="86">
        <v>0.5</v>
      </c>
      <c r="CU172" s="86">
        <v>0.70710678118654757</v>
      </c>
      <c r="CV172" s="86">
        <v>2</v>
      </c>
      <c r="CW172" s="86">
        <v>2</v>
      </c>
      <c r="CX172" s="84" t="s">
        <v>40</v>
      </c>
      <c r="CY172" s="84" t="s">
        <v>562</v>
      </c>
      <c r="CZ172" s="84" t="s">
        <v>80</v>
      </c>
      <c r="DA172" s="82">
        <v>2.8</v>
      </c>
      <c r="DB172" s="82">
        <v>0.7</v>
      </c>
      <c r="DC172" s="82">
        <v>1.5652475842498528</v>
      </c>
      <c r="DD172" s="82">
        <v>5</v>
      </c>
      <c r="DE172" s="82">
        <v>5</v>
      </c>
      <c r="DF172" s="84" t="s">
        <v>40</v>
      </c>
      <c r="DG172" s="84" t="s">
        <v>1348</v>
      </c>
      <c r="DH172" s="84" t="s">
        <v>572</v>
      </c>
      <c r="DI172" s="82">
        <v>1.5</v>
      </c>
      <c r="DJ172" s="82">
        <v>0.5</v>
      </c>
      <c r="DK172" s="82">
        <v>0.70710678118654757</v>
      </c>
      <c r="DL172" s="82">
        <v>2</v>
      </c>
      <c r="DM172" s="82">
        <v>2</v>
      </c>
      <c r="DN172" s="82" t="s">
        <v>40</v>
      </c>
      <c r="DO172" s="84" t="s">
        <v>563</v>
      </c>
      <c r="DP172" s="84" t="s">
        <v>80</v>
      </c>
      <c r="DQ172" s="82">
        <v>2.4</v>
      </c>
      <c r="DR172" s="82">
        <v>0.7</v>
      </c>
      <c r="DS172" s="82">
        <v>1.5652475842498528</v>
      </c>
      <c r="DT172" s="82">
        <v>5</v>
      </c>
      <c r="DU172" s="82">
        <v>5</v>
      </c>
      <c r="DV172" s="84" t="s">
        <v>40</v>
      </c>
      <c r="DW172" s="84" t="s">
        <v>563</v>
      </c>
      <c r="DX172" s="82" t="s">
        <v>1747</v>
      </c>
      <c r="DY172" s="86">
        <f>DI172-CS172</f>
        <v>-1</v>
      </c>
      <c r="DZ172" s="86"/>
      <c r="EA172" s="86">
        <f>SQRT((CU172^2)+(DK172^2))</f>
        <v>1</v>
      </c>
      <c r="EB172" s="86">
        <v>2</v>
      </c>
      <c r="EC172" s="86">
        <v>2</v>
      </c>
      <c r="ED172" s="84" t="s">
        <v>1743</v>
      </c>
      <c r="EE172" s="82" t="s">
        <v>1744</v>
      </c>
      <c r="EF172" s="82" t="s">
        <v>1746</v>
      </c>
      <c r="EG172" s="86">
        <f>DQ172-DA172</f>
        <v>-0.39999999999999991</v>
      </c>
      <c r="EH172" s="86"/>
      <c r="EI172" s="86">
        <f>SQRT((DS172^2)+(DC172^2))</f>
        <v>2.2135943621178655</v>
      </c>
      <c r="EJ172" s="86">
        <v>5</v>
      </c>
      <c r="EK172" s="86">
        <v>5</v>
      </c>
      <c r="EL172" s="84" t="s">
        <v>1743</v>
      </c>
      <c r="EM172" s="82" t="s">
        <v>1745</v>
      </c>
      <c r="EN172" s="86">
        <f>DY172</f>
        <v>-1</v>
      </c>
      <c r="EO172" s="86">
        <f t="shared" ref="EO172:EQ175" si="183">EA172</f>
        <v>1</v>
      </c>
      <c r="EP172" s="86">
        <f t="shared" si="183"/>
        <v>2</v>
      </c>
      <c r="EQ172" s="86">
        <f t="shared" si="183"/>
        <v>2</v>
      </c>
      <c r="ER172" s="86">
        <f>EG172</f>
        <v>-0.39999999999999991</v>
      </c>
      <c r="ES172" s="86">
        <f t="shared" ref="ES172:EU175" si="184">EI172</f>
        <v>2.2135943621178655</v>
      </c>
      <c r="ET172" s="86">
        <f t="shared" si="184"/>
        <v>5</v>
      </c>
      <c r="EU172" s="86">
        <f t="shared" si="184"/>
        <v>5</v>
      </c>
      <c r="EV172" s="86">
        <f t="shared" si="159"/>
        <v>2.0297783130184439</v>
      </c>
      <c r="EW172" s="86">
        <f t="shared" si="160"/>
        <v>-0.29559878344928797</v>
      </c>
      <c r="EX172" s="86">
        <f t="shared" si="161"/>
        <v>0.70624133148404988</v>
      </c>
      <c r="EY172" s="86">
        <f t="shared" si="162"/>
        <v>0.84210526315789469</v>
      </c>
      <c r="EZ172" s="83">
        <f t="shared" si="173"/>
        <v>-0.24892529132571617</v>
      </c>
      <c r="FA172" s="83">
        <f t="shared" si="163"/>
        <v>0.5008248777283012</v>
      </c>
      <c r="FB172" s="83">
        <f t="shared" si="164"/>
        <v>7</v>
      </c>
      <c r="FC172" s="84" t="s">
        <v>1558</v>
      </c>
    </row>
    <row r="173" spans="1:159" s="84" customFormat="1" ht="17.100000000000001" customHeight="1">
      <c r="A173" s="144" t="s">
        <v>1797</v>
      </c>
      <c r="B173" s="156" t="s">
        <v>1922</v>
      </c>
      <c r="C173" s="80" t="str">
        <f t="shared" si="150"/>
        <v>Raybuck, A. L., Moorman, C. E., Greenberg, C. H., DePerno, C. S., Gross, K., Simon, D. M., &amp; Warburton, G. S.  2012.  Short-term response of small mammals following oak regeneration silviculture treatments. Forest Ecology and Management. 274: 10-16.</v>
      </c>
      <c r="D173" s="99" t="s">
        <v>1469</v>
      </c>
      <c r="E173" s="99">
        <v>2012</v>
      </c>
      <c r="F173" s="99" t="s">
        <v>548</v>
      </c>
      <c r="G173" s="99" t="s">
        <v>20</v>
      </c>
      <c r="H173" s="99">
        <v>274</v>
      </c>
      <c r="I173" s="99" t="s">
        <v>549</v>
      </c>
      <c r="J173" s="81" t="s">
        <v>1817</v>
      </c>
      <c r="K173" s="156" t="s">
        <v>550</v>
      </c>
      <c r="L173" s="84" t="s">
        <v>18</v>
      </c>
      <c r="M173" s="95" t="s">
        <v>164</v>
      </c>
      <c r="N173" s="84" t="s">
        <v>389</v>
      </c>
      <c r="P173" s="156" t="s">
        <v>16</v>
      </c>
      <c r="Q173" s="156" t="s">
        <v>551</v>
      </c>
      <c r="R173" s="156" t="s">
        <v>552</v>
      </c>
      <c r="S173" s="156"/>
      <c r="T173" s="156" t="s">
        <v>553</v>
      </c>
      <c r="U173" s="156" t="s">
        <v>554</v>
      </c>
      <c r="V173" s="156">
        <v>35.4</v>
      </c>
      <c r="W173" s="156">
        <v>-82.9</v>
      </c>
      <c r="X173" s="156" t="s">
        <v>631</v>
      </c>
      <c r="Y173" s="66" t="s">
        <v>1898</v>
      </c>
      <c r="Z173" s="66" t="s">
        <v>2202</v>
      </c>
      <c r="AA173" s="97" t="s">
        <v>555</v>
      </c>
      <c r="AB173" s="82" t="s">
        <v>237</v>
      </c>
      <c r="AC173" s="81" t="s">
        <v>137</v>
      </c>
      <c r="AD173" s="84" t="s">
        <v>64</v>
      </c>
      <c r="AE173" s="84" t="s">
        <v>556</v>
      </c>
      <c r="AF173" s="63" t="s">
        <v>86</v>
      </c>
      <c r="AG173" s="84" t="s">
        <v>92</v>
      </c>
      <c r="AH173" s="84" t="s">
        <v>106</v>
      </c>
      <c r="AI173" s="84" t="s">
        <v>93</v>
      </c>
      <c r="AJ173" s="86">
        <v>2</v>
      </c>
      <c r="AK173" s="86" t="s">
        <v>85</v>
      </c>
      <c r="AL173" s="86">
        <v>1</v>
      </c>
      <c r="AM173" s="84" t="s">
        <v>558</v>
      </c>
      <c r="AN173" s="84" t="s">
        <v>829</v>
      </c>
      <c r="AO173" s="84" t="s">
        <v>526</v>
      </c>
      <c r="AP173" s="68" t="s">
        <v>2227</v>
      </c>
      <c r="AQ173" s="84" t="s">
        <v>88</v>
      </c>
      <c r="AR173" s="86">
        <v>1</v>
      </c>
      <c r="AS173" s="86" t="s">
        <v>564</v>
      </c>
      <c r="AT173" s="86"/>
      <c r="AU173" s="90"/>
      <c r="AV173" s="88">
        <v>0.45283018867924524</v>
      </c>
      <c r="AW173" s="84" t="s">
        <v>1247</v>
      </c>
      <c r="AX173" s="84" t="s">
        <v>80</v>
      </c>
      <c r="AY173" s="86">
        <v>5</v>
      </c>
      <c r="AZ173" s="86">
        <v>1</v>
      </c>
      <c r="BA173" s="87" t="s">
        <v>635</v>
      </c>
      <c r="BB173" s="86"/>
      <c r="BC173" s="84" t="s">
        <v>1347</v>
      </c>
      <c r="BD173" s="93" t="s">
        <v>124</v>
      </c>
      <c r="BE173" s="84" t="s">
        <v>182</v>
      </c>
      <c r="BF173" s="93" t="s">
        <v>116</v>
      </c>
      <c r="BG173" s="84" t="s">
        <v>21</v>
      </c>
      <c r="BH173" s="84" t="s">
        <v>81</v>
      </c>
      <c r="BI173" s="84" t="s">
        <v>558</v>
      </c>
      <c r="BJ173" s="89">
        <f>26.5/12</f>
        <v>2.2083333333333335</v>
      </c>
      <c r="BK173" s="84" t="s">
        <v>1250</v>
      </c>
      <c r="BL173" s="84" t="s">
        <v>1250</v>
      </c>
      <c r="BM173" s="88">
        <v>2.2083333333333335</v>
      </c>
      <c r="BN173" s="84" t="s">
        <v>389</v>
      </c>
      <c r="BO173" s="84" t="s">
        <v>565</v>
      </c>
      <c r="BP173" s="84" t="s">
        <v>64</v>
      </c>
      <c r="BR173" s="84" t="s">
        <v>1633</v>
      </c>
      <c r="BS173" s="84" t="s">
        <v>2132</v>
      </c>
      <c r="BU173" s="86"/>
      <c r="BV173" s="86"/>
      <c r="BW173" s="90"/>
      <c r="BX173" s="86"/>
      <c r="BY173" s="86"/>
      <c r="CC173" s="86"/>
      <c r="CD173" s="86"/>
      <c r="CE173" s="90"/>
      <c r="CF173" s="86"/>
      <c r="CG173" s="86"/>
      <c r="CK173" s="86"/>
      <c r="CL173" s="86"/>
      <c r="CM173" s="86"/>
      <c r="CN173" s="86"/>
      <c r="CO173" s="86"/>
      <c r="CR173" s="84" t="s">
        <v>572</v>
      </c>
      <c r="CS173" s="86">
        <v>6.5</v>
      </c>
      <c r="CT173" s="86">
        <v>0.5</v>
      </c>
      <c r="CU173" s="86">
        <v>0.70710678118654757</v>
      </c>
      <c r="CV173" s="86">
        <v>2</v>
      </c>
      <c r="CW173" s="86">
        <v>2</v>
      </c>
      <c r="CX173" s="84" t="s">
        <v>40</v>
      </c>
      <c r="CY173" s="84" t="s">
        <v>562</v>
      </c>
      <c r="CZ173" s="84" t="s">
        <v>80</v>
      </c>
      <c r="DA173" s="82">
        <v>6.4</v>
      </c>
      <c r="DB173" s="82">
        <v>0.7</v>
      </c>
      <c r="DC173" s="82">
        <v>1.5652475842498528</v>
      </c>
      <c r="DD173" s="82">
        <v>5</v>
      </c>
      <c r="DE173" s="82">
        <v>5</v>
      </c>
      <c r="DF173" s="84" t="s">
        <v>40</v>
      </c>
      <c r="DG173" s="84" t="s">
        <v>1348</v>
      </c>
      <c r="DH173" s="84" t="s">
        <v>572</v>
      </c>
      <c r="DI173" s="82">
        <v>5.5</v>
      </c>
      <c r="DJ173" s="82">
        <v>1.5</v>
      </c>
      <c r="DK173" s="82">
        <v>2.1213203435596428</v>
      </c>
      <c r="DL173" s="82">
        <v>2</v>
      </c>
      <c r="DM173" s="82">
        <v>2</v>
      </c>
      <c r="DN173" s="82" t="s">
        <v>40</v>
      </c>
      <c r="DO173" s="84" t="s">
        <v>566</v>
      </c>
      <c r="DP173" s="84" t="s">
        <v>80</v>
      </c>
      <c r="DQ173" s="82">
        <v>7</v>
      </c>
      <c r="DR173" s="82">
        <v>0.5</v>
      </c>
      <c r="DS173" s="82">
        <v>1.1180339887498949</v>
      </c>
      <c r="DT173" s="82">
        <v>5</v>
      </c>
      <c r="DU173" s="82">
        <v>5</v>
      </c>
      <c r="DV173" s="84" t="s">
        <v>40</v>
      </c>
      <c r="DW173" s="84" t="s">
        <v>566</v>
      </c>
      <c r="DX173" s="82" t="s">
        <v>1747</v>
      </c>
      <c r="DY173" s="86">
        <f>DI173-CS173</f>
        <v>-1</v>
      </c>
      <c r="DZ173" s="86"/>
      <c r="EA173" s="86">
        <f>SQRT((CU173^2)+(DK173^2))</f>
        <v>2.2360679774997898</v>
      </c>
      <c r="EB173" s="86">
        <v>2</v>
      </c>
      <c r="EC173" s="86">
        <v>2</v>
      </c>
      <c r="ED173" s="84" t="s">
        <v>1743</v>
      </c>
      <c r="EE173" s="82" t="s">
        <v>1744</v>
      </c>
      <c r="EF173" s="82" t="s">
        <v>1746</v>
      </c>
      <c r="EG173" s="86">
        <f>DQ173-DA173</f>
        <v>0.59999999999999964</v>
      </c>
      <c r="EH173" s="86"/>
      <c r="EI173" s="86">
        <f>SQRT((DS173^2)+(DC173^2))</f>
        <v>1.9235384061671346</v>
      </c>
      <c r="EJ173" s="86">
        <v>5</v>
      </c>
      <c r="EK173" s="86">
        <v>5</v>
      </c>
      <c r="EL173" s="84" t="s">
        <v>1743</v>
      </c>
      <c r="EM173" s="82" t="s">
        <v>1745</v>
      </c>
      <c r="EN173" s="86">
        <f>DY173</f>
        <v>-1</v>
      </c>
      <c r="EO173" s="86">
        <f t="shared" si="183"/>
        <v>2.2360679774997898</v>
      </c>
      <c r="EP173" s="86">
        <f t="shared" si="183"/>
        <v>2</v>
      </c>
      <c r="EQ173" s="86">
        <f t="shared" si="183"/>
        <v>2</v>
      </c>
      <c r="ER173" s="86">
        <f>EG173</f>
        <v>0.59999999999999964</v>
      </c>
      <c r="ES173" s="86">
        <f t="shared" si="184"/>
        <v>1.9235384061671346</v>
      </c>
      <c r="ET173" s="86">
        <f t="shared" si="184"/>
        <v>5</v>
      </c>
      <c r="EU173" s="86">
        <f t="shared" si="184"/>
        <v>5</v>
      </c>
      <c r="EV173" s="86">
        <f t="shared" si="159"/>
        <v>1.9899748742132399</v>
      </c>
      <c r="EW173" s="86">
        <f t="shared" si="160"/>
        <v>-0.80403025220736946</v>
      </c>
      <c r="EX173" s="86">
        <f t="shared" si="161"/>
        <v>0.74617604617604616</v>
      </c>
      <c r="EY173" s="86">
        <f t="shared" si="162"/>
        <v>0.84210526315789469</v>
      </c>
      <c r="EZ173" s="83">
        <f t="shared" si="173"/>
        <v>-0.67707810712199534</v>
      </c>
      <c r="FA173" s="83">
        <f t="shared" si="163"/>
        <v>0.52914423219132356</v>
      </c>
      <c r="FB173" s="83">
        <f t="shared" si="164"/>
        <v>7</v>
      </c>
      <c r="FC173" s="84" t="s">
        <v>1558</v>
      </c>
    </row>
    <row r="174" spans="1:159" s="84" customFormat="1" ht="17.100000000000001" customHeight="1">
      <c r="A174" s="144" t="s">
        <v>1797</v>
      </c>
      <c r="B174" s="156" t="s">
        <v>1923</v>
      </c>
      <c r="C174" s="80" t="str">
        <f t="shared" si="150"/>
        <v>Raybuck, A. L., Moorman, C. E., Greenberg, C. H., DePerno, C. S., Gross, K., Simon, D. M., &amp; Warburton, G. S.  2012.  Short-term response of small mammals following oak regeneration silviculture treatments. Forest Ecology and Management. 274: 10-16.</v>
      </c>
      <c r="D174" s="99" t="s">
        <v>1469</v>
      </c>
      <c r="E174" s="99">
        <v>2012</v>
      </c>
      <c r="F174" s="99" t="s">
        <v>548</v>
      </c>
      <c r="G174" s="99" t="s">
        <v>20</v>
      </c>
      <c r="H174" s="99">
        <v>274</v>
      </c>
      <c r="I174" s="99" t="s">
        <v>549</v>
      </c>
      <c r="J174" s="81" t="s">
        <v>1817</v>
      </c>
      <c r="K174" s="156" t="s">
        <v>550</v>
      </c>
      <c r="L174" s="84" t="s">
        <v>18</v>
      </c>
      <c r="M174" s="95" t="s">
        <v>164</v>
      </c>
      <c r="N174" s="84" t="s">
        <v>389</v>
      </c>
      <c r="P174" s="156" t="s">
        <v>16</v>
      </c>
      <c r="Q174" s="156" t="s">
        <v>551</v>
      </c>
      <c r="R174" s="156" t="s">
        <v>552</v>
      </c>
      <c r="S174" s="156"/>
      <c r="T174" s="156" t="s">
        <v>553</v>
      </c>
      <c r="U174" s="156" t="s">
        <v>554</v>
      </c>
      <c r="V174" s="99">
        <v>35.4</v>
      </c>
      <c r="W174" s="99">
        <v>-82.9</v>
      </c>
      <c r="X174" s="99" t="s">
        <v>631</v>
      </c>
      <c r="Y174" s="66" t="s">
        <v>1898</v>
      </c>
      <c r="Z174" s="66" t="s">
        <v>2202</v>
      </c>
      <c r="AA174" s="97" t="s">
        <v>555</v>
      </c>
      <c r="AB174" s="82" t="s">
        <v>237</v>
      </c>
      <c r="AC174" s="81" t="s">
        <v>137</v>
      </c>
      <c r="AD174" s="84" t="s">
        <v>64</v>
      </c>
      <c r="AE174" s="84" t="s">
        <v>556</v>
      </c>
      <c r="AF174" s="63" t="s">
        <v>86</v>
      </c>
      <c r="AG174" s="84" t="s">
        <v>92</v>
      </c>
      <c r="AH174" s="84" t="s">
        <v>106</v>
      </c>
      <c r="AI174" s="84" t="s">
        <v>93</v>
      </c>
      <c r="AJ174" s="86">
        <v>3</v>
      </c>
      <c r="AK174" s="86" t="s">
        <v>557</v>
      </c>
      <c r="AL174" s="86">
        <v>1</v>
      </c>
      <c r="AM174" s="84" t="s">
        <v>558</v>
      </c>
      <c r="AN174" s="84" t="s">
        <v>829</v>
      </c>
      <c r="AO174" s="84" t="s">
        <v>526</v>
      </c>
      <c r="AP174" s="68" t="s">
        <v>2227</v>
      </c>
      <c r="AQ174" s="84" t="s">
        <v>88</v>
      </c>
      <c r="AR174" s="86">
        <v>1</v>
      </c>
      <c r="AS174" s="86" t="s">
        <v>559</v>
      </c>
      <c r="AT174" s="86"/>
      <c r="AU174" s="90"/>
      <c r="AV174" s="88">
        <v>1</v>
      </c>
      <c r="AW174" s="84" t="s">
        <v>1246</v>
      </c>
      <c r="AX174" s="84" t="s">
        <v>80</v>
      </c>
      <c r="AY174" s="86">
        <v>5</v>
      </c>
      <c r="AZ174" s="86">
        <v>1</v>
      </c>
      <c r="BA174" s="86">
        <v>60</v>
      </c>
      <c r="BB174" s="86"/>
      <c r="BC174" s="84" t="s">
        <v>1346</v>
      </c>
      <c r="BD174" s="93" t="s">
        <v>124</v>
      </c>
      <c r="BE174" s="84" t="s">
        <v>182</v>
      </c>
      <c r="BF174" s="93" t="s">
        <v>116</v>
      </c>
      <c r="BG174" s="84" t="s">
        <v>21</v>
      </c>
      <c r="BH174" s="84" t="s">
        <v>81</v>
      </c>
      <c r="BI174" s="84" t="s">
        <v>560</v>
      </c>
      <c r="BJ174" s="89">
        <f>2.5/12</f>
        <v>0.20833333333333334</v>
      </c>
      <c r="BK174" s="111" t="s">
        <v>642</v>
      </c>
      <c r="BL174" s="111" t="s">
        <v>642</v>
      </c>
      <c r="BM174" s="88">
        <v>0.20833333333333334</v>
      </c>
      <c r="BN174" s="84" t="s">
        <v>389</v>
      </c>
      <c r="BO174" s="84" t="s">
        <v>561</v>
      </c>
      <c r="BP174" s="84" t="s">
        <v>64</v>
      </c>
      <c r="BR174" s="91" t="s">
        <v>1251</v>
      </c>
      <c r="BS174" s="84" t="s">
        <v>2131</v>
      </c>
      <c r="BU174" s="86"/>
      <c r="BV174" s="86"/>
      <c r="BW174" s="90"/>
      <c r="BX174" s="86"/>
      <c r="BY174" s="86"/>
      <c r="CC174" s="86"/>
      <c r="CD174" s="86"/>
      <c r="CE174" s="90"/>
      <c r="CF174" s="86"/>
      <c r="CG174" s="86"/>
      <c r="CK174" s="86"/>
      <c r="CL174" s="86"/>
      <c r="CM174" s="86"/>
      <c r="CN174" s="86"/>
      <c r="CO174" s="86"/>
      <c r="CR174" s="84" t="s">
        <v>572</v>
      </c>
      <c r="CS174" s="86">
        <v>3.3</v>
      </c>
      <c r="CT174" s="86">
        <v>0.3</v>
      </c>
      <c r="CU174" s="115">
        <v>0.51961524227066314</v>
      </c>
      <c r="CV174" s="86">
        <v>3</v>
      </c>
      <c r="CW174" s="86">
        <v>3</v>
      </c>
      <c r="CX174" s="84" t="s">
        <v>40</v>
      </c>
      <c r="CY174" s="84" t="s">
        <v>567</v>
      </c>
      <c r="CZ174" s="84" t="s">
        <v>80</v>
      </c>
      <c r="DA174" s="82">
        <v>2.8</v>
      </c>
      <c r="DB174" s="82">
        <v>0.7</v>
      </c>
      <c r="DC174" s="82">
        <v>1.5652475842498528</v>
      </c>
      <c r="DD174" s="82">
        <v>5</v>
      </c>
      <c r="DE174" s="82">
        <v>5</v>
      </c>
      <c r="DF174" s="84" t="s">
        <v>40</v>
      </c>
      <c r="DG174" s="84" t="s">
        <v>1348</v>
      </c>
      <c r="DH174" s="84" t="s">
        <v>572</v>
      </c>
      <c r="DI174" s="82">
        <v>2.2999999999999998</v>
      </c>
      <c r="DJ174" s="82">
        <v>0.3</v>
      </c>
      <c r="DK174" s="82">
        <v>0.51961524227066314</v>
      </c>
      <c r="DL174" s="82">
        <v>3</v>
      </c>
      <c r="DM174" s="82">
        <v>3</v>
      </c>
      <c r="DN174" s="82" t="s">
        <v>40</v>
      </c>
      <c r="DO174" s="84" t="s">
        <v>563</v>
      </c>
      <c r="DP174" s="84" t="s">
        <v>80</v>
      </c>
      <c r="DQ174" s="82">
        <v>2.4</v>
      </c>
      <c r="DR174" s="82">
        <v>0.7</v>
      </c>
      <c r="DS174" s="82">
        <v>1.5652475842498528</v>
      </c>
      <c r="DT174" s="82">
        <v>5</v>
      </c>
      <c r="DU174" s="82">
        <v>5</v>
      </c>
      <c r="DV174" s="84" t="s">
        <v>40</v>
      </c>
      <c r="DW174" s="84" t="s">
        <v>563</v>
      </c>
      <c r="DX174" s="82" t="s">
        <v>1747</v>
      </c>
      <c r="DY174" s="86">
        <f>DI174-CS174</f>
        <v>-1</v>
      </c>
      <c r="DZ174" s="86"/>
      <c r="EA174" s="86">
        <f>SQRT((CU174^2)+(DK174^2))</f>
        <v>0.73484692283495334</v>
      </c>
      <c r="EB174" s="86">
        <v>3</v>
      </c>
      <c r="EC174" s="86">
        <v>3</v>
      </c>
      <c r="ED174" s="84" t="s">
        <v>1743</v>
      </c>
      <c r="EE174" s="82" t="s">
        <v>1744</v>
      </c>
      <c r="EF174" s="82" t="s">
        <v>1746</v>
      </c>
      <c r="EG174" s="86">
        <f>DQ174-DA174</f>
        <v>-0.39999999999999991</v>
      </c>
      <c r="EH174" s="86"/>
      <c r="EI174" s="86">
        <f>SQRT((DS174^2)+(DC174^2))</f>
        <v>2.2135943621178655</v>
      </c>
      <c r="EJ174" s="86">
        <v>5</v>
      </c>
      <c r="EK174" s="86">
        <v>5</v>
      </c>
      <c r="EL174" s="84" t="s">
        <v>1743</v>
      </c>
      <c r="EM174" s="82" t="s">
        <v>1745</v>
      </c>
      <c r="EN174" s="86">
        <f>DY174</f>
        <v>-1</v>
      </c>
      <c r="EO174" s="86">
        <f t="shared" si="183"/>
        <v>0.73484692283495334</v>
      </c>
      <c r="EP174" s="86">
        <f t="shared" si="183"/>
        <v>3</v>
      </c>
      <c r="EQ174" s="86">
        <f t="shared" si="183"/>
        <v>3</v>
      </c>
      <c r="ER174" s="86">
        <f>EG174</f>
        <v>-0.39999999999999991</v>
      </c>
      <c r="ES174" s="86">
        <f t="shared" si="184"/>
        <v>2.2135943621178655</v>
      </c>
      <c r="ET174" s="86">
        <f t="shared" si="184"/>
        <v>5</v>
      </c>
      <c r="EU174" s="86">
        <f t="shared" si="184"/>
        <v>5</v>
      </c>
      <c r="EV174" s="86">
        <f t="shared" si="159"/>
        <v>1.8565200420859094</v>
      </c>
      <c r="EW174" s="86">
        <f t="shared" si="160"/>
        <v>-0.32318530713294363</v>
      </c>
      <c r="EX174" s="86">
        <f t="shared" si="161"/>
        <v>0.53986137975499682</v>
      </c>
      <c r="EY174" s="86">
        <f t="shared" si="162"/>
        <v>0.86956521739130432</v>
      </c>
      <c r="EZ174" s="83">
        <f t="shared" si="173"/>
        <v>-0.28103070185473361</v>
      </c>
      <c r="FA174" s="83">
        <f t="shared" si="163"/>
        <v>0.40821276351984637</v>
      </c>
      <c r="FB174" s="83">
        <f t="shared" si="164"/>
        <v>8</v>
      </c>
      <c r="FC174" s="84" t="s">
        <v>1558</v>
      </c>
    </row>
    <row r="175" spans="1:159" s="84" customFormat="1" ht="17.100000000000001" customHeight="1">
      <c r="A175" s="144" t="s">
        <v>1797</v>
      </c>
      <c r="B175" s="156" t="s">
        <v>1924</v>
      </c>
      <c r="C175" s="80" t="str">
        <f t="shared" si="150"/>
        <v>Raybuck, A. L., Moorman, C. E., Greenberg, C. H., DePerno, C. S., Gross, K., Simon, D. M., &amp; Warburton, G. S.  2012.  Short-term response of small mammals following oak regeneration silviculture treatments. Forest Ecology and Management. 274: 10-16.</v>
      </c>
      <c r="D175" s="99" t="s">
        <v>1469</v>
      </c>
      <c r="E175" s="99">
        <v>2012</v>
      </c>
      <c r="F175" s="99" t="s">
        <v>548</v>
      </c>
      <c r="G175" s="99" t="s">
        <v>20</v>
      </c>
      <c r="H175" s="99">
        <v>274</v>
      </c>
      <c r="I175" s="99" t="s">
        <v>549</v>
      </c>
      <c r="J175" s="81" t="s">
        <v>1817</v>
      </c>
      <c r="K175" s="156" t="s">
        <v>550</v>
      </c>
      <c r="L175" s="84" t="s">
        <v>18</v>
      </c>
      <c r="M175" s="95" t="s">
        <v>164</v>
      </c>
      <c r="N175" s="84" t="s">
        <v>389</v>
      </c>
      <c r="P175" s="156" t="s">
        <v>16</v>
      </c>
      <c r="Q175" s="156" t="s">
        <v>551</v>
      </c>
      <c r="R175" s="156" t="s">
        <v>552</v>
      </c>
      <c r="S175" s="156"/>
      <c r="T175" s="156" t="s">
        <v>553</v>
      </c>
      <c r="U175" s="156" t="s">
        <v>554</v>
      </c>
      <c r="V175" s="99">
        <v>35.4</v>
      </c>
      <c r="W175" s="99">
        <v>-82.9</v>
      </c>
      <c r="X175" s="99" t="s">
        <v>631</v>
      </c>
      <c r="Y175" s="66" t="s">
        <v>1898</v>
      </c>
      <c r="Z175" s="66" t="s">
        <v>2202</v>
      </c>
      <c r="AA175" s="97" t="s">
        <v>555</v>
      </c>
      <c r="AB175" s="82" t="s">
        <v>237</v>
      </c>
      <c r="AC175" s="81" t="s">
        <v>137</v>
      </c>
      <c r="AD175" s="84" t="s">
        <v>64</v>
      </c>
      <c r="AE175" s="84" t="s">
        <v>556</v>
      </c>
      <c r="AF175" s="63" t="s">
        <v>86</v>
      </c>
      <c r="AG175" s="84" t="s">
        <v>92</v>
      </c>
      <c r="AH175" s="84" t="s">
        <v>106</v>
      </c>
      <c r="AI175" s="84" t="s">
        <v>93</v>
      </c>
      <c r="AJ175" s="86">
        <v>3</v>
      </c>
      <c r="AK175" s="86" t="s">
        <v>85</v>
      </c>
      <c r="AL175" s="86">
        <v>1</v>
      </c>
      <c r="AM175" s="84" t="s">
        <v>558</v>
      </c>
      <c r="AN175" s="84" t="s">
        <v>829</v>
      </c>
      <c r="AO175" s="84" t="s">
        <v>526</v>
      </c>
      <c r="AP175" s="68" t="s">
        <v>2227</v>
      </c>
      <c r="AQ175" s="84" t="s">
        <v>88</v>
      </c>
      <c r="AR175" s="86">
        <v>1</v>
      </c>
      <c r="AS175" s="86" t="s">
        <v>564</v>
      </c>
      <c r="AT175" s="86"/>
      <c r="AU175" s="90"/>
      <c r="AV175" s="88">
        <v>0.82758620689655182</v>
      </c>
      <c r="AW175" s="84" t="s">
        <v>1246</v>
      </c>
      <c r="AX175" s="84" t="s">
        <v>80</v>
      </c>
      <c r="AY175" s="86">
        <v>5</v>
      </c>
      <c r="AZ175" s="86">
        <v>1</v>
      </c>
      <c r="BA175" s="87" t="s">
        <v>635</v>
      </c>
      <c r="BB175" s="86"/>
      <c r="BC175" s="84" t="s">
        <v>1347</v>
      </c>
      <c r="BD175" s="93" t="s">
        <v>124</v>
      </c>
      <c r="BE175" s="84" t="s">
        <v>182</v>
      </c>
      <c r="BF175" s="93" t="s">
        <v>116</v>
      </c>
      <c r="BG175" s="84" t="s">
        <v>21</v>
      </c>
      <c r="BH175" s="84" t="s">
        <v>81</v>
      </c>
      <c r="BI175" s="84" t="s">
        <v>558</v>
      </c>
      <c r="BJ175" s="89">
        <f>14.5/12</f>
        <v>1.2083333333333333</v>
      </c>
      <c r="BK175" s="111" t="s">
        <v>1248</v>
      </c>
      <c r="BL175" s="111" t="s">
        <v>1248</v>
      </c>
      <c r="BM175" s="88">
        <v>1.2083333333333333</v>
      </c>
      <c r="BN175" s="84" t="s">
        <v>389</v>
      </c>
      <c r="BO175" s="84" t="s">
        <v>565</v>
      </c>
      <c r="BP175" s="84" t="s">
        <v>64</v>
      </c>
      <c r="BR175" s="84" t="s">
        <v>1252</v>
      </c>
      <c r="BS175" s="84" t="s">
        <v>2132</v>
      </c>
      <c r="BU175" s="86"/>
      <c r="BV175" s="86"/>
      <c r="BW175" s="90"/>
      <c r="BX175" s="86"/>
      <c r="BY175" s="86"/>
      <c r="CC175" s="86"/>
      <c r="CD175" s="86"/>
      <c r="CE175" s="90"/>
      <c r="CF175" s="86"/>
      <c r="CG175" s="86"/>
      <c r="CK175" s="86"/>
      <c r="CL175" s="86"/>
      <c r="CM175" s="86"/>
      <c r="CN175" s="86"/>
      <c r="CO175" s="86"/>
      <c r="CR175" s="84" t="s">
        <v>572</v>
      </c>
      <c r="CS175" s="86">
        <v>6.7</v>
      </c>
      <c r="CT175" s="86">
        <v>0.7</v>
      </c>
      <c r="CU175" s="115">
        <v>1.2124355652982139</v>
      </c>
      <c r="CV175" s="86">
        <v>3</v>
      </c>
      <c r="CW175" s="86">
        <v>3</v>
      </c>
      <c r="CX175" s="84" t="s">
        <v>40</v>
      </c>
      <c r="CY175" s="84" t="s">
        <v>568</v>
      </c>
      <c r="CZ175" s="84" t="s">
        <v>80</v>
      </c>
      <c r="DA175" s="82">
        <v>6.4</v>
      </c>
      <c r="DB175" s="82">
        <v>0.7</v>
      </c>
      <c r="DC175" s="82">
        <v>1.5652475842498528</v>
      </c>
      <c r="DD175" s="82">
        <v>5</v>
      </c>
      <c r="DE175" s="82">
        <v>5</v>
      </c>
      <c r="DF175" s="84" t="s">
        <v>40</v>
      </c>
      <c r="DG175" s="84" t="s">
        <v>1348</v>
      </c>
      <c r="DH175" s="84" t="s">
        <v>572</v>
      </c>
      <c r="DI175" s="82">
        <v>5.7</v>
      </c>
      <c r="DJ175" s="82">
        <v>0.9</v>
      </c>
      <c r="DK175" s="82">
        <v>1.5588457268119895</v>
      </c>
      <c r="DL175" s="82">
        <v>3</v>
      </c>
      <c r="DM175" s="82">
        <v>3</v>
      </c>
      <c r="DN175" s="82" t="s">
        <v>40</v>
      </c>
      <c r="DO175" s="84" t="s">
        <v>566</v>
      </c>
      <c r="DP175" s="117" t="s">
        <v>80</v>
      </c>
      <c r="DQ175" s="185">
        <v>7</v>
      </c>
      <c r="DR175" s="185">
        <v>0.5</v>
      </c>
      <c r="DS175" s="185">
        <v>1.1180339887498949</v>
      </c>
      <c r="DT175" s="185">
        <v>5</v>
      </c>
      <c r="DU175" s="185">
        <v>5</v>
      </c>
      <c r="DV175" s="177" t="s">
        <v>40</v>
      </c>
      <c r="DW175" s="177" t="s">
        <v>566</v>
      </c>
      <c r="DX175" s="82" t="s">
        <v>1747</v>
      </c>
      <c r="DY175" s="86">
        <f>DI175-CS175</f>
        <v>-1</v>
      </c>
      <c r="DZ175" s="86"/>
      <c r="EA175" s="86">
        <f>SQRT((CU175^2)+(DK175^2))</f>
        <v>1.9748417658131499</v>
      </c>
      <c r="EB175" s="184">
        <v>3</v>
      </c>
      <c r="EC175" s="184">
        <v>3</v>
      </c>
      <c r="ED175" s="84" t="s">
        <v>1743</v>
      </c>
      <c r="EE175" s="82" t="s">
        <v>1744</v>
      </c>
      <c r="EF175" s="82" t="s">
        <v>1746</v>
      </c>
      <c r="EG175" s="86">
        <f>DQ175-DA175</f>
        <v>0.59999999999999964</v>
      </c>
      <c r="EH175" s="86"/>
      <c r="EI175" s="86">
        <f>SQRT((DS175^2)+(DC175^2))</f>
        <v>1.9235384061671346</v>
      </c>
      <c r="EJ175" s="184">
        <v>5</v>
      </c>
      <c r="EK175" s="184">
        <v>5</v>
      </c>
      <c r="EL175" s="84" t="s">
        <v>1743</v>
      </c>
      <c r="EM175" s="82" t="s">
        <v>1745</v>
      </c>
      <c r="EN175" s="86">
        <f>DY175</f>
        <v>-1</v>
      </c>
      <c r="EO175" s="86">
        <f t="shared" si="183"/>
        <v>1.9748417658131499</v>
      </c>
      <c r="EP175" s="86">
        <f t="shared" si="183"/>
        <v>3</v>
      </c>
      <c r="EQ175" s="86">
        <f t="shared" si="183"/>
        <v>3</v>
      </c>
      <c r="ER175" s="86">
        <f>EG175</f>
        <v>0.59999999999999964</v>
      </c>
      <c r="ES175" s="86">
        <f t="shared" si="184"/>
        <v>1.9235384061671346</v>
      </c>
      <c r="ET175" s="86">
        <f t="shared" si="184"/>
        <v>5</v>
      </c>
      <c r="EU175" s="86">
        <f t="shared" si="184"/>
        <v>5</v>
      </c>
      <c r="EV175" s="86">
        <f t="shared" si="159"/>
        <v>1.9407902170679516</v>
      </c>
      <c r="EW175" s="86">
        <f t="shared" si="160"/>
        <v>-0.82440646388727123</v>
      </c>
      <c r="EX175" s="86">
        <f t="shared" si="161"/>
        <v>0.57581120943952802</v>
      </c>
      <c r="EY175" s="86">
        <f t="shared" si="162"/>
        <v>0.86956521739130432</v>
      </c>
      <c r="EZ175" s="83">
        <f t="shared" si="173"/>
        <v>-0.71687518598893152</v>
      </c>
      <c r="FA175" s="83">
        <f t="shared" si="163"/>
        <v>0.43539599957620267</v>
      </c>
      <c r="FB175" s="83">
        <f t="shared" si="164"/>
        <v>8</v>
      </c>
      <c r="FC175" s="84" t="s">
        <v>1558</v>
      </c>
    </row>
    <row r="176" spans="1:159" s="84" customFormat="1" ht="17.100000000000001" customHeight="1">
      <c r="A176" s="144" t="s">
        <v>1822</v>
      </c>
      <c r="B176" s="155" t="s">
        <v>583</v>
      </c>
      <c r="C176" s="80" t="str">
        <f t="shared" si="150"/>
        <v>Reazin, C., Morris, S., Smith, J. E., Cowan, A. D., &amp; Jumpponen, A.  2016.  Fires of differing intensities rapidly select distinct soil fungal communities in a Northwest US ponderosa pine forest ecosystem.. Forest Ecology and Management. 377: 118-127.</v>
      </c>
      <c r="D176" s="99" t="s">
        <v>1489</v>
      </c>
      <c r="E176" s="99">
        <v>2016</v>
      </c>
      <c r="F176" s="158" t="s">
        <v>584</v>
      </c>
      <c r="G176" s="158" t="s">
        <v>20</v>
      </c>
      <c r="H176" s="99">
        <v>377</v>
      </c>
      <c r="I176" s="99" t="s">
        <v>585</v>
      </c>
      <c r="J176" s="81" t="s">
        <v>1800</v>
      </c>
      <c r="K176" s="154" t="s">
        <v>586</v>
      </c>
      <c r="L176" s="82" t="s">
        <v>102</v>
      </c>
      <c r="M176" s="65" t="s">
        <v>73</v>
      </c>
      <c r="N176" s="63" t="s">
        <v>389</v>
      </c>
      <c r="O176" s="82"/>
      <c r="P176" s="164" t="s">
        <v>16</v>
      </c>
      <c r="Q176" s="154" t="s">
        <v>587</v>
      </c>
      <c r="R176" s="154" t="s">
        <v>588</v>
      </c>
      <c r="S176" s="155"/>
      <c r="T176" s="155" t="s">
        <v>1409</v>
      </c>
      <c r="U176" s="155" t="s">
        <v>1410</v>
      </c>
      <c r="V176" s="99">
        <v>43.7</v>
      </c>
      <c r="W176" s="99">
        <v>-121.62</v>
      </c>
      <c r="X176" s="99">
        <v>1372</v>
      </c>
      <c r="Y176" s="99" t="s">
        <v>1899</v>
      </c>
      <c r="Z176" s="66" t="s">
        <v>2204</v>
      </c>
      <c r="AA176" s="97" t="s">
        <v>49</v>
      </c>
      <c r="AB176" s="79" t="s">
        <v>103</v>
      </c>
      <c r="AC176" s="79" t="s">
        <v>136</v>
      </c>
      <c r="AD176" s="82" t="s">
        <v>615</v>
      </c>
      <c r="AE176" s="82"/>
      <c r="AF176" s="82" t="s">
        <v>589</v>
      </c>
      <c r="AG176" s="82" t="s">
        <v>589</v>
      </c>
      <c r="AH176" s="82" t="s">
        <v>107</v>
      </c>
      <c r="AI176" s="82" t="s">
        <v>276</v>
      </c>
      <c r="AJ176" s="86">
        <v>10</v>
      </c>
      <c r="AK176" s="86" t="s">
        <v>85</v>
      </c>
      <c r="AL176" s="86" t="s">
        <v>85</v>
      </c>
      <c r="AM176" s="84" t="s">
        <v>590</v>
      </c>
      <c r="AN176" s="84" t="s">
        <v>1257</v>
      </c>
      <c r="AO176" s="84" t="s">
        <v>526</v>
      </c>
      <c r="AP176" s="68" t="s">
        <v>2227</v>
      </c>
      <c r="AQ176" s="82" t="s">
        <v>64</v>
      </c>
      <c r="AR176" s="86">
        <v>1</v>
      </c>
      <c r="AS176" s="86">
        <v>1</v>
      </c>
      <c r="AT176" s="86"/>
      <c r="AU176" s="90"/>
      <c r="AV176" s="88">
        <v>1</v>
      </c>
      <c r="AW176" s="82"/>
      <c r="AX176" s="82" t="s">
        <v>80</v>
      </c>
      <c r="AY176" s="86">
        <v>10</v>
      </c>
      <c r="AZ176" s="86">
        <v>1</v>
      </c>
      <c r="BA176" s="86">
        <v>1</v>
      </c>
      <c r="BB176" s="86"/>
      <c r="BC176" s="82"/>
      <c r="BD176" s="83" t="s">
        <v>124</v>
      </c>
      <c r="BE176" s="84" t="s">
        <v>182</v>
      </c>
      <c r="BF176" s="83" t="s">
        <v>115</v>
      </c>
      <c r="BG176" s="84" t="s">
        <v>21</v>
      </c>
      <c r="BH176" s="82" t="s">
        <v>22</v>
      </c>
      <c r="BI176" s="84" t="s">
        <v>591</v>
      </c>
      <c r="BJ176" s="89">
        <f t="shared" ref="BJ176:BJ184" si="185">BK176/12</f>
        <v>6.25E-2</v>
      </c>
      <c r="BK176" s="84">
        <v>0.75</v>
      </c>
      <c r="BL176" s="84">
        <v>0.75</v>
      </c>
      <c r="BM176" s="88">
        <v>6.25E-2</v>
      </c>
      <c r="BN176" s="82" t="s">
        <v>379</v>
      </c>
      <c r="BO176" s="82" t="s">
        <v>184</v>
      </c>
      <c r="BP176" s="63" t="s">
        <v>593</v>
      </c>
      <c r="BQ176" s="63"/>
      <c r="BR176" s="82" t="s">
        <v>594</v>
      </c>
      <c r="BS176" s="81" t="s">
        <v>2164</v>
      </c>
      <c r="BT176" s="82" t="s">
        <v>72</v>
      </c>
      <c r="BU176" s="90">
        <v>55.84</v>
      </c>
      <c r="BV176" s="90">
        <v>13.78</v>
      </c>
      <c r="BW176" s="90">
        <v>13.78</v>
      </c>
      <c r="BX176" s="86">
        <v>10</v>
      </c>
      <c r="BY176" s="86">
        <v>10</v>
      </c>
      <c r="BZ176" s="82" t="s">
        <v>216</v>
      </c>
      <c r="CA176" s="82" t="s">
        <v>1370</v>
      </c>
      <c r="CB176" s="82" t="s">
        <v>80</v>
      </c>
      <c r="CC176" s="90">
        <v>87.32</v>
      </c>
      <c r="CD176" s="90">
        <v>14.75</v>
      </c>
      <c r="CE176" s="90">
        <v>14.75</v>
      </c>
      <c r="CF176" s="86">
        <v>10</v>
      </c>
      <c r="CG176" s="86">
        <v>10</v>
      </c>
      <c r="CH176" s="82" t="s">
        <v>216</v>
      </c>
      <c r="CI176" s="82" t="s">
        <v>592</v>
      </c>
      <c r="CJ176" s="82"/>
      <c r="CK176" s="86"/>
      <c r="CL176" s="86"/>
      <c r="CM176" s="86"/>
      <c r="CN176" s="86"/>
      <c r="CO176" s="86"/>
      <c r="CP176" s="82"/>
      <c r="CQ176" s="82"/>
      <c r="CR176" s="82"/>
      <c r="CS176" s="86"/>
      <c r="CT176" s="86"/>
      <c r="CU176" s="86"/>
      <c r="CV176" s="86"/>
      <c r="CW176" s="86"/>
      <c r="CX176" s="82"/>
      <c r="CY176" s="82"/>
      <c r="CZ176" s="82"/>
      <c r="DA176" s="82"/>
      <c r="DB176" s="82"/>
      <c r="DC176" s="82"/>
      <c r="DD176" s="82"/>
      <c r="DE176" s="82"/>
      <c r="DF176" s="82"/>
      <c r="DG176" s="82"/>
      <c r="DH176" s="82"/>
      <c r="DI176" s="82"/>
      <c r="DJ176" s="82"/>
      <c r="DK176" s="82"/>
      <c r="DL176" s="82"/>
      <c r="DM176" s="82"/>
      <c r="DN176" s="82"/>
      <c r="DO176" s="82"/>
      <c r="DP176" s="82"/>
      <c r="DQ176" s="82"/>
      <c r="DR176" s="82"/>
      <c r="DS176" s="82"/>
      <c r="DT176" s="82"/>
      <c r="DU176" s="82"/>
      <c r="DV176" s="82"/>
      <c r="DW176" s="82"/>
      <c r="DX176" s="82"/>
      <c r="DY176" s="86"/>
      <c r="DZ176" s="86"/>
      <c r="EA176" s="86"/>
      <c r="EB176" s="86"/>
      <c r="EC176" s="86"/>
      <c r="ED176" s="82"/>
      <c r="EE176" s="82"/>
      <c r="EF176" s="82"/>
      <c r="EG176" s="86"/>
      <c r="EH176" s="86"/>
      <c r="EI176" s="86"/>
      <c r="EJ176" s="86"/>
      <c r="EK176" s="86"/>
      <c r="EL176" s="82"/>
      <c r="EM176" s="82"/>
      <c r="EN176" s="86">
        <f>BU176</f>
        <v>55.84</v>
      </c>
      <c r="EO176" s="90">
        <f t="shared" ref="EO176:EQ178" si="186">BW176</f>
        <v>13.78</v>
      </c>
      <c r="EP176" s="86">
        <f t="shared" si="186"/>
        <v>10</v>
      </c>
      <c r="EQ176" s="86">
        <f t="shared" si="186"/>
        <v>10</v>
      </c>
      <c r="ER176" s="86">
        <f>CC176</f>
        <v>87.32</v>
      </c>
      <c r="ES176" s="90">
        <f t="shared" ref="ES176:EU178" si="187">CE176</f>
        <v>14.75</v>
      </c>
      <c r="ET176" s="86">
        <f t="shared" si="187"/>
        <v>10</v>
      </c>
      <c r="EU176" s="86">
        <f t="shared" si="187"/>
        <v>10</v>
      </c>
      <c r="EV176" s="86">
        <f t="shared" si="159"/>
        <v>14.273242448722016</v>
      </c>
      <c r="EW176" s="86">
        <f t="shared" si="160"/>
        <v>-2.2055254868047602</v>
      </c>
      <c r="EX176" s="86">
        <f t="shared" si="161"/>
        <v>0.32160856682363437</v>
      </c>
      <c r="EY176" s="86">
        <f t="shared" si="162"/>
        <v>0.95774647887323949</v>
      </c>
      <c r="EZ176" s="83">
        <f t="shared" si="173"/>
        <v>-2.1123342690524467</v>
      </c>
      <c r="FA176" s="83">
        <f t="shared" si="163"/>
        <v>0.29500456516415102</v>
      </c>
      <c r="FB176" s="83">
        <f t="shared" si="164"/>
        <v>20</v>
      </c>
      <c r="FC176" s="84" t="s">
        <v>125</v>
      </c>
    </row>
    <row r="177" spans="1:159" s="84" customFormat="1" ht="17.100000000000001" customHeight="1">
      <c r="A177" s="144" t="s">
        <v>1822</v>
      </c>
      <c r="B177" s="155" t="s">
        <v>583</v>
      </c>
      <c r="C177" s="80" t="str">
        <f t="shared" si="150"/>
        <v>Reazin, C., Morris, S., Smith, J. E., Cowan, A. D., &amp; Jumpponen, A.  2016.  Fires of differing intensities rapidly select distinct soil fungal communities in a Northwest US ponderosa pine forest ecosystem.. Forest Ecology and Management. 377: 118-127.</v>
      </c>
      <c r="D177" s="99" t="s">
        <v>1489</v>
      </c>
      <c r="E177" s="99">
        <v>2016</v>
      </c>
      <c r="F177" s="158" t="s">
        <v>584</v>
      </c>
      <c r="G177" s="158" t="s">
        <v>20</v>
      </c>
      <c r="H177" s="99">
        <v>377</v>
      </c>
      <c r="I177" s="99" t="s">
        <v>585</v>
      </c>
      <c r="J177" s="81" t="s">
        <v>1800</v>
      </c>
      <c r="K177" s="154" t="s">
        <v>586</v>
      </c>
      <c r="L177" s="82" t="s">
        <v>102</v>
      </c>
      <c r="M177" s="65" t="s">
        <v>73</v>
      </c>
      <c r="N177" s="63" t="s">
        <v>389</v>
      </c>
      <c r="O177" s="82"/>
      <c r="P177" s="164" t="s">
        <v>16</v>
      </c>
      <c r="Q177" s="154" t="s">
        <v>587</v>
      </c>
      <c r="R177" s="154" t="s">
        <v>588</v>
      </c>
      <c r="S177" s="155"/>
      <c r="T177" s="155" t="s">
        <v>1409</v>
      </c>
      <c r="U177" s="155" t="s">
        <v>1410</v>
      </c>
      <c r="V177" s="99">
        <v>43.7</v>
      </c>
      <c r="W177" s="99">
        <v>-121.62</v>
      </c>
      <c r="X177" s="99">
        <v>1372</v>
      </c>
      <c r="Y177" s="99" t="s">
        <v>1899</v>
      </c>
      <c r="Z177" s="66" t="s">
        <v>2204</v>
      </c>
      <c r="AA177" s="97" t="s">
        <v>49</v>
      </c>
      <c r="AB177" s="79" t="s">
        <v>103</v>
      </c>
      <c r="AC177" s="79" t="s">
        <v>136</v>
      </c>
      <c r="AD177" s="82" t="s">
        <v>615</v>
      </c>
      <c r="AE177" s="82"/>
      <c r="AF177" s="82" t="s">
        <v>589</v>
      </c>
      <c r="AG177" s="82" t="s">
        <v>589</v>
      </c>
      <c r="AH177" s="82" t="s">
        <v>107</v>
      </c>
      <c r="AI177" s="82" t="s">
        <v>276</v>
      </c>
      <c r="AJ177" s="86">
        <v>10</v>
      </c>
      <c r="AK177" s="86" t="s">
        <v>85</v>
      </c>
      <c r="AL177" s="86" t="s">
        <v>85</v>
      </c>
      <c r="AM177" s="84" t="s">
        <v>590</v>
      </c>
      <c r="AN177" s="84" t="s">
        <v>1257</v>
      </c>
      <c r="AO177" s="84" t="s">
        <v>526</v>
      </c>
      <c r="AP177" s="68" t="s">
        <v>2227</v>
      </c>
      <c r="AQ177" s="82" t="s">
        <v>64</v>
      </c>
      <c r="AR177" s="86">
        <v>1</v>
      </c>
      <c r="AS177" s="86">
        <v>1</v>
      </c>
      <c r="AT177" s="86"/>
      <c r="AU177" s="90"/>
      <c r="AV177" s="88">
        <v>1</v>
      </c>
      <c r="AW177" s="82"/>
      <c r="AX177" s="82" t="s">
        <v>80</v>
      </c>
      <c r="AY177" s="86">
        <v>10</v>
      </c>
      <c r="AZ177" s="86">
        <v>1</v>
      </c>
      <c r="BA177" s="86">
        <v>1</v>
      </c>
      <c r="BB177" s="86"/>
      <c r="BC177" s="82"/>
      <c r="BD177" s="83" t="s">
        <v>122</v>
      </c>
      <c r="BE177" s="84" t="s">
        <v>157</v>
      </c>
      <c r="BF177" s="83" t="s">
        <v>115</v>
      </c>
      <c r="BG177" s="84" t="s">
        <v>21</v>
      </c>
      <c r="BH177" s="82" t="s">
        <v>22</v>
      </c>
      <c r="BI177" s="84" t="s">
        <v>591</v>
      </c>
      <c r="BJ177" s="89">
        <f t="shared" si="185"/>
        <v>6.25E-2</v>
      </c>
      <c r="BK177" s="84">
        <v>0.75</v>
      </c>
      <c r="BL177" s="84">
        <v>0.75</v>
      </c>
      <c r="BM177" s="88">
        <v>6.25E-2</v>
      </c>
      <c r="BN177" s="82" t="s">
        <v>379</v>
      </c>
      <c r="BO177" s="82" t="s">
        <v>184</v>
      </c>
      <c r="BP177" s="63" t="s">
        <v>593</v>
      </c>
      <c r="BQ177" s="63" t="s">
        <v>579</v>
      </c>
      <c r="BR177" s="82" t="s">
        <v>594</v>
      </c>
      <c r="BS177" s="81" t="s">
        <v>2164</v>
      </c>
      <c r="BT177" s="82" t="s">
        <v>72</v>
      </c>
      <c r="BU177" s="90">
        <v>1.96</v>
      </c>
      <c r="BV177" s="90">
        <v>0.34</v>
      </c>
      <c r="BW177" s="90">
        <v>0.34</v>
      </c>
      <c r="BX177" s="86">
        <v>10</v>
      </c>
      <c r="BY177" s="86">
        <v>10</v>
      </c>
      <c r="BZ177" s="82" t="s">
        <v>216</v>
      </c>
      <c r="CA177" s="82" t="s">
        <v>1370</v>
      </c>
      <c r="CB177" s="82" t="s">
        <v>80</v>
      </c>
      <c r="CC177" s="90">
        <v>2.46</v>
      </c>
      <c r="CD177" s="90">
        <v>0.4</v>
      </c>
      <c r="CE177" s="90">
        <v>0.4</v>
      </c>
      <c r="CF177" s="86">
        <v>10</v>
      </c>
      <c r="CG177" s="86">
        <v>10</v>
      </c>
      <c r="CH177" s="82" t="s">
        <v>216</v>
      </c>
      <c r="CI177" s="82" t="s">
        <v>592</v>
      </c>
      <c r="CJ177" s="82"/>
      <c r="CK177" s="86"/>
      <c r="CL177" s="86"/>
      <c r="CM177" s="86"/>
      <c r="CN177" s="86"/>
      <c r="CO177" s="86"/>
      <c r="CP177" s="82"/>
      <c r="CQ177" s="82"/>
      <c r="CR177" s="82"/>
      <c r="CS177" s="86"/>
      <c r="CT177" s="86"/>
      <c r="CU177" s="86"/>
      <c r="CV177" s="86"/>
      <c r="CW177" s="86"/>
      <c r="CX177" s="82"/>
      <c r="CY177" s="82"/>
      <c r="CZ177" s="82"/>
      <c r="DA177" s="82"/>
      <c r="DB177" s="82"/>
      <c r="DC177" s="82"/>
      <c r="DD177" s="82"/>
      <c r="DE177" s="82"/>
      <c r="DF177" s="82"/>
      <c r="DG177" s="82"/>
      <c r="DH177" s="82"/>
      <c r="DI177" s="82"/>
      <c r="DJ177" s="82"/>
      <c r="DK177" s="82"/>
      <c r="DL177" s="82"/>
      <c r="DM177" s="82"/>
      <c r="DN177" s="82"/>
      <c r="DO177" s="82"/>
      <c r="DP177" s="175"/>
      <c r="DQ177" s="187"/>
      <c r="DR177" s="187"/>
      <c r="DS177" s="187"/>
      <c r="DT177" s="187"/>
      <c r="DU177" s="187"/>
      <c r="DV177" s="82"/>
      <c r="DW177" s="187"/>
      <c r="DX177" s="82"/>
      <c r="DY177" s="86"/>
      <c r="DZ177" s="86"/>
      <c r="EA177" s="86"/>
      <c r="EB177" s="186"/>
      <c r="EC177" s="186"/>
      <c r="ED177" s="82"/>
      <c r="EE177" s="82"/>
      <c r="EF177" s="82"/>
      <c r="EG177" s="86"/>
      <c r="EH177" s="86"/>
      <c r="EI177" s="86"/>
      <c r="EJ177" s="186"/>
      <c r="EK177" s="186"/>
      <c r="EL177" s="82"/>
      <c r="EM177" s="82"/>
      <c r="EN177" s="86">
        <f>BU177</f>
        <v>1.96</v>
      </c>
      <c r="EO177" s="90">
        <f t="shared" si="186"/>
        <v>0.34</v>
      </c>
      <c r="EP177" s="86">
        <f t="shared" si="186"/>
        <v>10</v>
      </c>
      <c r="EQ177" s="86">
        <f t="shared" si="186"/>
        <v>10</v>
      </c>
      <c r="ER177" s="86">
        <f>CC177</f>
        <v>2.46</v>
      </c>
      <c r="ES177" s="90">
        <f t="shared" si="187"/>
        <v>0.4</v>
      </c>
      <c r="ET177" s="86">
        <f t="shared" si="187"/>
        <v>10</v>
      </c>
      <c r="EU177" s="86">
        <f t="shared" si="187"/>
        <v>10</v>
      </c>
      <c r="EV177" s="86">
        <f t="shared" si="159"/>
        <v>0.37121422386541175</v>
      </c>
      <c r="EW177" s="86">
        <f t="shared" si="160"/>
        <v>-1.3469311461009132</v>
      </c>
      <c r="EX177" s="86">
        <f t="shared" si="161"/>
        <v>0.24535558780841799</v>
      </c>
      <c r="EY177" s="86">
        <f t="shared" si="162"/>
        <v>0.95774647887323949</v>
      </c>
      <c r="EZ177" s="83">
        <f t="shared" si="173"/>
        <v>-1.2900185624628466</v>
      </c>
      <c r="FA177" s="83">
        <f t="shared" si="163"/>
        <v>0.22505936084628542</v>
      </c>
      <c r="FB177" s="83">
        <f t="shared" si="164"/>
        <v>20</v>
      </c>
      <c r="FC177" s="84" t="s">
        <v>125</v>
      </c>
    </row>
    <row r="178" spans="1:159" s="84" customFormat="1" ht="17.100000000000001" customHeight="1">
      <c r="A178" s="144" t="s">
        <v>1845</v>
      </c>
      <c r="B178" s="150" t="s">
        <v>1584</v>
      </c>
      <c r="C178" s="80" t="str">
        <f t="shared" si="150"/>
        <v>Royo, A. A., Collins, R., Adams, M. B., Kirschbaum, C., &amp; Carson, W. P. 2010.  Pervasive interactions between ungulate browsers and disturbance regimes promote temperate forest herbaceous diversity. Ecology. 91: 93-105.</v>
      </c>
      <c r="D178" s="104" t="s">
        <v>1512</v>
      </c>
      <c r="E178" s="104">
        <v>2010</v>
      </c>
      <c r="F178" s="145" t="s">
        <v>1058</v>
      </c>
      <c r="G178" s="145" t="s">
        <v>214</v>
      </c>
      <c r="H178" s="104">
        <v>91</v>
      </c>
      <c r="I178" s="189" t="s">
        <v>43</v>
      </c>
      <c r="J178" s="79"/>
      <c r="K178" s="150" t="s">
        <v>1059</v>
      </c>
      <c r="L178" s="82" t="s">
        <v>101</v>
      </c>
      <c r="M178" s="83" t="s">
        <v>73</v>
      </c>
      <c r="N178" s="82" t="s">
        <v>389</v>
      </c>
      <c r="O178" s="82"/>
      <c r="P178" s="151" t="s">
        <v>16</v>
      </c>
      <c r="Q178" s="150" t="s">
        <v>1060</v>
      </c>
      <c r="R178" s="150" t="s">
        <v>1061</v>
      </c>
      <c r="S178" s="150"/>
      <c r="T178" s="150" t="s">
        <v>1062</v>
      </c>
      <c r="U178" s="150" t="s">
        <v>1063</v>
      </c>
      <c r="V178" s="104">
        <v>39.06</v>
      </c>
      <c r="W178" s="104">
        <v>-79.710000000000008</v>
      </c>
      <c r="X178" s="104" t="s">
        <v>1064</v>
      </c>
      <c r="Y178" s="104" t="s">
        <v>1897</v>
      </c>
      <c r="Z178" s="66" t="s">
        <v>2203</v>
      </c>
      <c r="AA178" s="97" t="s">
        <v>555</v>
      </c>
      <c r="AB178" s="79" t="s">
        <v>64</v>
      </c>
      <c r="AC178" s="82" t="s">
        <v>235</v>
      </c>
      <c r="AD178" s="82"/>
      <c r="AE178" s="82" t="s">
        <v>1065</v>
      </c>
      <c r="AF178" s="82" t="s">
        <v>86</v>
      </c>
      <c r="AG178" s="82" t="s">
        <v>91</v>
      </c>
      <c r="AH178" s="82" t="s">
        <v>106</v>
      </c>
      <c r="AI178" s="82" t="s">
        <v>93</v>
      </c>
      <c r="AJ178" s="86">
        <v>4</v>
      </c>
      <c r="AK178" s="86">
        <v>1</v>
      </c>
      <c r="AL178" s="86">
        <v>1</v>
      </c>
      <c r="AM178" s="84" t="s">
        <v>1066</v>
      </c>
      <c r="AN178" s="84" t="s">
        <v>1053</v>
      </c>
      <c r="AO178" s="84" t="s">
        <v>526</v>
      </c>
      <c r="AP178" s="68" t="s">
        <v>2227</v>
      </c>
      <c r="AQ178" s="82" t="s">
        <v>94</v>
      </c>
      <c r="AR178" s="86">
        <v>1</v>
      </c>
      <c r="AS178" s="86">
        <v>5</v>
      </c>
      <c r="AT178" s="86"/>
      <c r="AU178" s="87"/>
      <c r="AV178" s="88">
        <v>0.16216216216216214</v>
      </c>
      <c r="AW178" s="82"/>
      <c r="AX178" s="82" t="s">
        <v>80</v>
      </c>
      <c r="AY178" s="86">
        <v>4</v>
      </c>
      <c r="AZ178" s="86">
        <v>1</v>
      </c>
      <c r="BA178" s="86">
        <v>5</v>
      </c>
      <c r="BB178" s="86"/>
      <c r="BC178" s="82"/>
      <c r="BD178" s="83" t="s">
        <v>124</v>
      </c>
      <c r="BE178" s="82" t="s">
        <v>182</v>
      </c>
      <c r="BF178" s="83" t="s">
        <v>110</v>
      </c>
      <c r="BG178" s="82" t="s">
        <v>21</v>
      </c>
      <c r="BH178" s="82" t="s">
        <v>81</v>
      </c>
      <c r="BI178" s="84" t="s">
        <v>365</v>
      </c>
      <c r="BJ178" s="89">
        <f t="shared" si="185"/>
        <v>6.166666666666667</v>
      </c>
      <c r="BK178" s="84">
        <v>74</v>
      </c>
      <c r="BL178" s="84">
        <v>74</v>
      </c>
      <c r="BM178" s="88">
        <v>6.166666666666667</v>
      </c>
      <c r="BN178" s="82" t="s">
        <v>379</v>
      </c>
      <c r="BO178" s="82" t="s">
        <v>1054</v>
      </c>
      <c r="BP178" s="82" t="s">
        <v>64</v>
      </c>
      <c r="BQ178" s="82"/>
      <c r="BR178" s="63" t="s">
        <v>1770</v>
      </c>
      <c r="BS178" s="63" t="s">
        <v>2153</v>
      </c>
      <c r="BT178" s="82" t="s">
        <v>572</v>
      </c>
      <c r="BU178" s="86">
        <v>2.77</v>
      </c>
      <c r="BV178" s="86"/>
      <c r="BW178" s="90">
        <v>1.6923356641044947</v>
      </c>
      <c r="BX178" s="86">
        <v>40</v>
      </c>
      <c r="BY178" s="86">
        <v>8</v>
      </c>
      <c r="BZ178" s="82" t="s">
        <v>1771</v>
      </c>
      <c r="CA178" s="82" t="s">
        <v>1612</v>
      </c>
      <c r="CB178" s="82" t="s">
        <v>80</v>
      </c>
      <c r="CC178" s="86">
        <v>1.3699999999999999</v>
      </c>
      <c r="CD178" s="86"/>
      <c r="CE178" s="90">
        <v>1.2149074038789953</v>
      </c>
      <c r="CF178" s="86">
        <v>40</v>
      </c>
      <c r="CG178" s="86">
        <v>8</v>
      </c>
      <c r="CH178" s="82" t="s">
        <v>1771</v>
      </c>
      <c r="CI178" s="82" t="s">
        <v>1612</v>
      </c>
      <c r="CJ178" s="82"/>
      <c r="CK178" s="86"/>
      <c r="CL178" s="86"/>
      <c r="CM178" s="86"/>
      <c r="CN178" s="86"/>
      <c r="CO178" s="86"/>
      <c r="CP178" s="82"/>
      <c r="CQ178" s="82"/>
      <c r="CR178" s="82"/>
      <c r="CS178" s="86"/>
      <c r="CT178" s="86"/>
      <c r="CU178" s="86"/>
      <c r="CV178" s="86"/>
      <c r="CW178" s="86"/>
      <c r="CX178" s="82"/>
      <c r="CY178" s="82"/>
      <c r="CZ178" s="82"/>
      <c r="DA178" s="82"/>
      <c r="DB178" s="82"/>
      <c r="DC178" s="82"/>
      <c r="DD178" s="82"/>
      <c r="DE178" s="82"/>
      <c r="DF178" s="82"/>
      <c r="DG178" s="82"/>
      <c r="DH178" s="82"/>
      <c r="DI178" s="82"/>
      <c r="DJ178" s="82"/>
      <c r="DK178" s="82"/>
      <c r="DL178" s="82"/>
      <c r="DM178" s="82"/>
      <c r="DN178" s="82"/>
      <c r="DO178" s="82"/>
      <c r="DP178" s="82"/>
      <c r="DQ178" s="82"/>
      <c r="DR178" s="82"/>
      <c r="DS178" s="82"/>
      <c r="DT178" s="82"/>
      <c r="DU178" s="82"/>
      <c r="DV178" s="82"/>
      <c r="DW178" s="82"/>
      <c r="DX178" s="82"/>
      <c r="DY178" s="86"/>
      <c r="DZ178" s="86"/>
      <c r="EA178" s="86"/>
      <c r="EB178" s="86"/>
      <c r="EC178" s="86"/>
      <c r="ED178" s="82"/>
      <c r="EE178" s="82"/>
      <c r="EF178" s="82"/>
      <c r="EG178" s="86"/>
      <c r="EH178" s="86"/>
      <c r="EI178" s="86"/>
      <c r="EJ178" s="86"/>
      <c r="EK178" s="86"/>
      <c r="EL178" s="82"/>
      <c r="EM178" s="82"/>
      <c r="EN178" s="86">
        <f>BU178</f>
        <v>2.77</v>
      </c>
      <c r="EO178" s="90">
        <f t="shared" si="186"/>
        <v>1.6923356641044947</v>
      </c>
      <c r="EP178" s="86">
        <f t="shared" si="186"/>
        <v>40</v>
      </c>
      <c r="EQ178" s="86">
        <f t="shared" si="186"/>
        <v>8</v>
      </c>
      <c r="ER178" s="86">
        <f>CC178</f>
        <v>1.3699999999999999</v>
      </c>
      <c r="ES178" s="90">
        <f t="shared" si="187"/>
        <v>1.2149074038789953</v>
      </c>
      <c r="ET178" s="86">
        <f t="shared" si="187"/>
        <v>40</v>
      </c>
      <c r="EU178" s="86">
        <f t="shared" si="187"/>
        <v>8</v>
      </c>
      <c r="EV178" s="86">
        <f t="shared" si="159"/>
        <v>1.4730919862656238</v>
      </c>
      <c r="EW178" s="86">
        <f t="shared" si="160"/>
        <v>0.95038192662298282</v>
      </c>
      <c r="EX178" s="86">
        <f t="shared" si="161"/>
        <v>0.25564516129032255</v>
      </c>
      <c r="EY178" s="86">
        <f t="shared" si="162"/>
        <v>0.99035369774919613</v>
      </c>
      <c r="EZ178" s="83">
        <f t="shared" si="173"/>
        <v>0.94121425530507619</v>
      </c>
      <c r="FA178" s="83">
        <f t="shared" si="163"/>
        <v>0.25073688837631081</v>
      </c>
      <c r="FB178" s="83">
        <f t="shared" si="164"/>
        <v>16</v>
      </c>
      <c r="FC178" s="82" t="s">
        <v>385</v>
      </c>
    </row>
    <row r="179" spans="1:159" s="84" customFormat="1" ht="17.100000000000001" customHeight="1">
      <c r="A179" s="144" t="s">
        <v>1801</v>
      </c>
      <c r="B179" s="151" t="s">
        <v>1591</v>
      </c>
      <c r="C179" s="80" t="str">
        <f t="shared" si="150"/>
        <v>Russell, R. E., Royle, J. A., Saab, V. A., Lehmkuhl, J. F., Block, W. M., &amp; Sauer, J. R.  2009.  Modeling the effects of environmental disturbance on wildlife communities: Avian responses to prescribed fire. Ecological Applications. 19: 1253-1263.</v>
      </c>
      <c r="D179" s="99" t="s">
        <v>1472</v>
      </c>
      <c r="E179" s="99">
        <v>2009</v>
      </c>
      <c r="F179" s="104" t="s">
        <v>859</v>
      </c>
      <c r="G179" s="104" t="s">
        <v>860</v>
      </c>
      <c r="H179" s="104">
        <v>19</v>
      </c>
      <c r="I179" s="189" t="s">
        <v>861</v>
      </c>
      <c r="J179" s="81"/>
      <c r="K179" s="151" t="s">
        <v>862</v>
      </c>
      <c r="L179" s="84" t="s">
        <v>18</v>
      </c>
      <c r="M179" s="95" t="s">
        <v>164</v>
      </c>
      <c r="N179" s="84" t="s">
        <v>389</v>
      </c>
      <c r="O179" s="84" t="s">
        <v>863</v>
      </c>
      <c r="P179" s="151" t="s">
        <v>16</v>
      </c>
      <c r="Q179" s="151" t="s">
        <v>864</v>
      </c>
      <c r="R179" s="151" t="s">
        <v>865</v>
      </c>
      <c r="S179" s="151"/>
      <c r="T179" s="151" t="s">
        <v>866</v>
      </c>
      <c r="U179" s="151" t="s">
        <v>867</v>
      </c>
      <c r="V179" s="151">
        <v>48.5</v>
      </c>
      <c r="W179" s="151">
        <v>-120</v>
      </c>
      <c r="X179" s="156"/>
      <c r="Y179" s="99" t="s">
        <v>1899</v>
      </c>
      <c r="Z179" s="66" t="s">
        <v>2204</v>
      </c>
      <c r="AA179" s="93" t="s">
        <v>49</v>
      </c>
      <c r="AB179" s="84" t="s">
        <v>64</v>
      </c>
      <c r="AC179" s="81" t="s">
        <v>235</v>
      </c>
      <c r="AF179" s="84" t="s">
        <v>156</v>
      </c>
      <c r="AG179" s="84" t="s">
        <v>91</v>
      </c>
      <c r="AH179" s="84" t="s">
        <v>106</v>
      </c>
      <c r="AI179" s="84" t="s">
        <v>272</v>
      </c>
      <c r="AJ179" s="86">
        <v>3</v>
      </c>
      <c r="AK179" s="86">
        <v>1</v>
      </c>
      <c r="AL179" s="86">
        <v>1</v>
      </c>
      <c r="AM179" s="84" t="s">
        <v>868</v>
      </c>
      <c r="AN179" s="84" t="s">
        <v>526</v>
      </c>
      <c r="AO179" s="84" t="s">
        <v>526</v>
      </c>
      <c r="AP179" s="68" t="s">
        <v>2227</v>
      </c>
      <c r="AQ179" s="84" t="s">
        <v>94</v>
      </c>
      <c r="AR179" s="108">
        <v>1</v>
      </c>
      <c r="AS179" s="86">
        <v>20</v>
      </c>
      <c r="AT179" s="86"/>
      <c r="AU179" s="90"/>
      <c r="AV179" s="88">
        <v>0.5</v>
      </c>
      <c r="AX179" s="84" t="s">
        <v>80</v>
      </c>
      <c r="AY179" s="86">
        <v>3</v>
      </c>
      <c r="AZ179" s="86">
        <v>1</v>
      </c>
      <c r="BA179" s="86">
        <v>20</v>
      </c>
      <c r="BB179" s="86"/>
      <c r="BD179" s="93" t="s">
        <v>124</v>
      </c>
      <c r="BE179" s="84" t="s">
        <v>182</v>
      </c>
      <c r="BF179" s="109" t="s">
        <v>111</v>
      </c>
      <c r="BG179" s="110" t="s">
        <v>21</v>
      </c>
      <c r="BH179" s="84" t="s">
        <v>869</v>
      </c>
      <c r="BI179" s="84" t="s">
        <v>870</v>
      </c>
      <c r="BJ179" s="89">
        <f t="shared" si="185"/>
        <v>2</v>
      </c>
      <c r="BK179" s="84">
        <v>24</v>
      </c>
      <c r="BL179" s="84">
        <v>24</v>
      </c>
      <c r="BM179" s="88">
        <v>2</v>
      </c>
      <c r="BN179" s="84" t="s">
        <v>389</v>
      </c>
      <c r="BO179" s="84" t="s">
        <v>70</v>
      </c>
      <c r="BP179" s="84" t="s">
        <v>64</v>
      </c>
      <c r="BR179" s="81" t="s">
        <v>1169</v>
      </c>
      <c r="BS179" s="81" t="s">
        <v>70</v>
      </c>
      <c r="BU179" s="86"/>
      <c r="BV179" s="86"/>
      <c r="BW179" s="86"/>
      <c r="BX179" s="86"/>
      <c r="BY179" s="86"/>
      <c r="CC179" s="86"/>
      <c r="CD179" s="86"/>
      <c r="CE179" s="86"/>
      <c r="CF179" s="86"/>
      <c r="CG179" s="86"/>
      <c r="CK179" s="86"/>
      <c r="CL179" s="86"/>
      <c r="CM179" s="86"/>
      <c r="CN179" s="86"/>
      <c r="CO179" s="86"/>
      <c r="CR179" s="84" t="s">
        <v>572</v>
      </c>
      <c r="CS179" s="86">
        <v>21.62</v>
      </c>
      <c r="CT179" s="86">
        <v>3.4</v>
      </c>
      <c r="CU179" s="86">
        <v>3</v>
      </c>
      <c r="CV179" s="86">
        <v>3</v>
      </c>
      <c r="CW179" s="86">
        <v>3</v>
      </c>
      <c r="CX179" s="84" t="s">
        <v>610</v>
      </c>
      <c r="CZ179" s="84" t="s">
        <v>80</v>
      </c>
      <c r="DA179" s="82">
        <v>19.04</v>
      </c>
      <c r="DB179" s="82">
        <v>3.09</v>
      </c>
      <c r="DC179" s="82">
        <v>2.73</v>
      </c>
      <c r="DD179" s="82">
        <v>3</v>
      </c>
      <c r="DE179" s="82">
        <v>3</v>
      </c>
      <c r="DF179" s="84" t="s">
        <v>610</v>
      </c>
      <c r="DH179" s="84" t="s">
        <v>572</v>
      </c>
      <c r="DI179" s="82">
        <v>27.17</v>
      </c>
      <c r="DJ179" s="82">
        <v>4.63</v>
      </c>
      <c r="DK179" s="82">
        <v>4.09</v>
      </c>
      <c r="DL179" s="82">
        <v>3</v>
      </c>
      <c r="DM179" s="82">
        <v>3</v>
      </c>
      <c r="DN179" s="82" t="s">
        <v>610</v>
      </c>
      <c r="DP179" s="84" t="s">
        <v>80</v>
      </c>
      <c r="DQ179" s="82">
        <v>27.07</v>
      </c>
      <c r="DR179" s="82">
        <v>4.12</v>
      </c>
      <c r="DS179" s="82">
        <v>3.64</v>
      </c>
      <c r="DT179" s="82">
        <v>3</v>
      </c>
      <c r="DU179" s="82">
        <v>3</v>
      </c>
      <c r="DV179" s="84" t="s">
        <v>610</v>
      </c>
      <c r="DX179" s="84" t="s">
        <v>1747</v>
      </c>
      <c r="DY179" s="86">
        <f>DI179-CS179</f>
        <v>5.5500000000000007</v>
      </c>
      <c r="DZ179" s="86"/>
      <c r="EA179" s="86">
        <f>SQRT((CU179^2)+(DK179^2))</f>
        <v>5.0722874524222306</v>
      </c>
      <c r="EB179" s="86">
        <v>3</v>
      </c>
      <c r="EC179" s="86">
        <v>3</v>
      </c>
      <c r="ED179" s="84" t="s">
        <v>1743</v>
      </c>
      <c r="EE179" s="84" t="s">
        <v>1744</v>
      </c>
      <c r="EF179" s="84" t="s">
        <v>1746</v>
      </c>
      <c r="EG179" s="86">
        <f>DQ179-DA179</f>
        <v>8.0300000000000011</v>
      </c>
      <c r="EH179" s="86"/>
      <c r="EI179" s="86">
        <f>SQRT((DS179^2)+(DC179^2))</f>
        <v>4.55</v>
      </c>
      <c r="EJ179" s="86">
        <v>3</v>
      </c>
      <c r="EK179" s="86">
        <v>3</v>
      </c>
      <c r="EL179" s="84" t="s">
        <v>1743</v>
      </c>
      <c r="EM179" s="84" t="s">
        <v>1745</v>
      </c>
      <c r="EN179" s="86">
        <f>DY179</f>
        <v>5.5500000000000007</v>
      </c>
      <c r="EO179" s="86">
        <f>EA179</f>
        <v>5.0722874524222306</v>
      </c>
      <c r="EP179" s="86">
        <f>EB179</f>
        <v>3</v>
      </c>
      <c r="EQ179" s="86">
        <f>EC179</f>
        <v>3</v>
      </c>
      <c r="ER179" s="86">
        <f>EG179</f>
        <v>8.0300000000000011</v>
      </c>
      <c r="ES179" s="86">
        <f>EI179</f>
        <v>4.55</v>
      </c>
      <c r="ET179" s="86">
        <f>EJ179</f>
        <v>3</v>
      </c>
      <c r="EU179" s="86">
        <f>EK179</f>
        <v>3</v>
      </c>
      <c r="EV179" s="86">
        <f t="shared" si="159"/>
        <v>4.8182258145504138</v>
      </c>
      <c r="EW179" s="86">
        <f t="shared" si="160"/>
        <v>-0.51471228112861045</v>
      </c>
      <c r="EX179" s="86">
        <f t="shared" si="161"/>
        <v>0.6887440610287181</v>
      </c>
      <c r="EY179" s="86">
        <f t="shared" si="162"/>
        <v>0.8</v>
      </c>
      <c r="EZ179" s="83">
        <f t="shared" si="173"/>
        <v>-0.41176982490288838</v>
      </c>
      <c r="FA179" s="83">
        <f t="shared" si="163"/>
        <v>0.44079619905837969</v>
      </c>
      <c r="FB179" s="83">
        <f t="shared" si="164"/>
        <v>6</v>
      </c>
      <c r="FC179" s="84" t="s">
        <v>385</v>
      </c>
    </row>
    <row r="180" spans="1:159" s="84" customFormat="1" ht="17.100000000000001" customHeight="1">
      <c r="A180" s="144" t="s">
        <v>1794</v>
      </c>
      <c r="B180" s="154" t="s">
        <v>358</v>
      </c>
      <c r="C180" s="80" t="str">
        <f t="shared" si="150"/>
        <v>Scharenbroch, B. C., Nix, B., Jacobs, K. A., &amp; Bowles, M. L. 2012.  Two decades of low-severity prescribed fire increases soil nutrient availability in a Midwestern, USA oak (Quercus) forest. Geoderma. 183-184: 80-91.</v>
      </c>
      <c r="D180" s="154" t="s">
        <v>1466</v>
      </c>
      <c r="E180" s="156">
        <v>2012</v>
      </c>
      <c r="F180" s="155" t="s">
        <v>2336</v>
      </c>
      <c r="G180" s="155" t="s">
        <v>353</v>
      </c>
      <c r="H180" s="156" t="s">
        <v>354</v>
      </c>
      <c r="I180" s="156" t="s">
        <v>355</v>
      </c>
      <c r="J180" s="79" t="s">
        <v>1577</v>
      </c>
      <c r="K180" s="155" t="s">
        <v>356</v>
      </c>
      <c r="L180" s="79" t="s">
        <v>101</v>
      </c>
      <c r="M180" s="83" t="s">
        <v>73</v>
      </c>
      <c r="N180" s="82" t="s">
        <v>389</v>
      </c>
      <c r="O180" s="82"/>
      <c r="P180" s="156" t="s">
        <v>16</v>
      </c>
      <c r="Q180" s="155" t="s">
        <v>334</v>
      </c>
      <c r="R180" s="155" t="s">
        <v>335</v>
      </c>
      <c r="S180" s="155"/>
      <c r="T180" s="158" t="s">
        <v>357</v>
      </c>
      <c r="U180" s="158" t="s">
        <v>337</v>
      </c>
      <c r="V180" s="99">
        <v>41.82</v>
      </c>
      <c r="W180" s="99">
        <v>-88.05</v>
      </c>
      <c r="X180" s="103"/>
      <c r="Y180" s="66" t="s">
        <v>1896</v>
      </c>
      <c r="Z180" s="66" t="s">
        <v>2203</v>
      </c>
      <c r="AA180" s="97" t="s">
        <v>555</v>
      </c>
      <c r="AB180" s="79" t="s">
        <v>103</v>
      </c>
      <c r="AC180" s="79" t="s">
        <v>64</v>
      </c>
      <c r="AD180" s="79" t="s">
        <v>64</v>
      </c>
      <c r="AE180" s="79"/>
      <c r="AF180" s="82" t="s">
        <v>156</v>
      </c>
      <c r="AG180" s="82" t="s">
        <v>92</v>
      </c>
      <c r="AH180" s="82" t="s">
        <v>64</v>
      </c>
      <c r="AI180" s="82" t="s">
        <v>276</v>
      </c>
      <c r="AJ180" s="86">
        <v>2</v>
      </c>
      <c r="AK180" s="86" t="s">
        <v>1161</v>
      </c>
      <c r="AL180" s="86">
        <v>16</v>
      </c>
      <c r="AM180" s="84" t="s">
        <v>359</v>
      </c>
      <c r="AN180" s="84" t="s">
        <v>527</v>
      </c>
      <c r="AO180" s="84" t="s">
        <v>2107</v>
      </c>
      <c r="AP180" s="68" t="s">
        <v>2229</v>
      </c>
      <c r="AQ180" s="82" t="s">
        <v>88</v>
      </c>
      <c r="AR180" s="86">
        <v>1</v>
      </c>
      <c r="AS180" s="86">
        <v>10</v>
      </c>
      <c r="AT180" s="86" t="s">
        <v>64</v>
      </c>
      <c r="AU180" s="90">
        <v>23</v>
      </c>
      <c r="AV180" s="88">
        <v>0.69565217391304301</v>
      </c>
      <c r="AW180" s="82" t="s">
        <v>1160</v>
      </c>
      <c r="AX180" s="82" t="s">
        <v>80</v>
      </c>
      <c r="AY180" s="86">
        <v>2</v>
      </c>
      <c r="AZ180" s="86">
        <v>1</v>
      </c>
      <c r="BA180" s="86" t="s">
        <v>360</v>
      </c>
      <c r="BB180" s="86" t="s">
        <v>64</v>
      </c>
      <c r="BC180" s="82"/>
      <c r="BD180" s="83" t="s">
        <v>124</v>
      </c>
      <c r="BE180" s="82" t="s">
        <v>182</v>
      </c>
      <c r="BF180" s="83" t="s">
        <v>387</v>
      </c>
      <c r="BG180" s="82" t="s">
        <v>21</v>
      </c>
      <c r="BH180" s="82" t="s">
        <v>81</v>
      </c>
      <c r="BI180" s="84" t="s">
        <v>362</v>
      </c>
      <c r="BJ180" s="89">
        <f t="shared" si="185"/>
        <v>23</v>
      </c>
      <c r="BK180" s="84">
        <v>276</v>
      </c>
      <c r="BL180" s="84" t="s">
        <v>1294</v>
      </c>
      <c r="BM180" s="88">
        <v>1.5</v>
      </c>
      <c r="BN180" s="82" t="s">
        <v>379</v>
      </c>
      <c r="BO180" s="82" t="s">
        <v>361</v>
      </c>
      <c r="BP180" s="82" t="s">
        <v>64</v>
      </c>
      <c r="BQ180" s="82"/>
      <c r="BR180" s="82" t="s">
        <v>1293</v>
      </c>
      <c r="BS180" s="82" t="s">
        <v>2178</v>
      </c>
      <c r="BT180" s="82" t="s">
        <v>1245</v>
      </c>
      <c r="BU180" s="86">
        <v>2</v>
      </c>
      <c r="BV180" s="86">
        <v>0.23</v>
      </c>
      <c r="BW180" s="90">
        <v>1.0285912696499033</v>
      </c>
      <c r="BX180" s="86">
        <v>20</v>
      </c>
      <c r="BY180" s="86">
        <v>20</v>
      </c>
      <c r="BZ180" s="82" t="s">
        <v>216</v>
      </c>
      <c r="CA180" s="82" t="s">
        <v>395</v>
      </c>
      <c r="CB180" s="82" t="s">
        <v>80</v>
      </c>
      <c r="CC180" s="86">
        <v>1.55</v>
      </c>
      <c r="CD180" s="86">
        <v>0.27</v>
      </c>
      <c r="CE180" s="90">
        <v>1.2074767078498865</v>
      </c>
      <c r="CF180" s="86">
        <v>20</v>
      </c>
      <c r="CG180" s="86">
        <v>20</v>
      </c>
      <c r="CH180" s="82" t="s">
        <v>216</v>
      </c>
      <c r="CI180" s="82" t="s">
        <v>395</v>
      </c>
      <c r="CJ180" s="82"/>
      <c r="CK180" s="86"/>
      <c r="CL180" s="86"/>
      <c r="CM180" s="86"/>
      <c r="CN180" s="86"/>
      <c r="CO180" s="86"/>
      <c r="CP180" s="82"/>
      <c r="CQ180" s="82"/>
      <c r="CR180" s="82"/>
      <c r="CS180" s="86"/>
      <c r="CT180" s="86"/>
      <c r="CU180" s="86"/>
      <c r="CV180" s="86"/>
      <c r="CW180" s="86"/>
      <c r="CX180" s="82"/>
      <c r="CY180" s="82"/>
      <c r="CZ180" s="82"/>
      <c r="DA180" s="82"/>
      <c r="DB180" s="82"/>
      <c r="DC180" s="82"/>
      <c r="DD180" s="82"/>
      <c r="DE180" s="82"/>
      <c r="DF180" s="82"/>
      <c r="DG180" s="82"/>
      <c r="DH180" s="82"/>
      <c r="DI180" s="82"/>
      <c r="DJ180" s="82"/>
      <c r="DK180" s="82"/>
      <c r="DL180" s="82"/>
      <c r="DM180" s="82"/>
      <c r="DN180" s="82"/>
      <c r="DO180" s="82"/>
      <c r="DP180" s="82"/>
      <c r="DQ180" s="82"/>
      <c r="DR180" s="82"/>
      <c r="DS180" s="82"/>
      <c r="DT180" s="82"/>
      <c r="DU180" s="82"/>
      <c r="DV180" s="82"/>
      <c r="DW180" s="82"/>
      <c r="DX180" s="82"/>
      <c r="DY180" s="86"/>
      <c r="DZ180" s="86"/>
      <c r="EA180" s="86"/>
      <c r="EB180" s="86"/>
      <c r="EC180" s="86"/>
      <c r="ED180" s="82"/>
      <c r="EE180" s="82"/>
      <c r="EF180" s="82"/>
      <c r="EG180" s="86"/>
      <c r="EH180" s="86"/>
      <c r="EI180" s="86"/>
      <c r="EJ180" s="86"/>
      <c r="EK180" s="86"/>
      <c r="EL180" s="82"/>
      <c r="EM180" s="82"/>
      <c r="EN180" s="86">
        <f t="shared" ref="EN180:EN196" si="188">BU180</f>
        <v>2</v>
      </c>
      <c r="EO180" s="90">
        <f t="shared" ref="EO180:EO196" si="189">BW180</f>
        <v>1.0285912696499033</v>
      </c>
      <c r="EP180" s="86">
        <f t="shared" ref="EP180:EP196" si="190">BX180</f>
        <v>20</v>
      </c>
      <c r="EQ180" s="86">
        <f t="shared" ref="EQ180:EQ196" si="191">BY180</f>
        <v>20</v>
      </c>
      <c r="ER180" s="86">
        <f t="shared" ref="ER180:ER196" si="192">CC180</f>
        <v>1.55</v>
      </c>
      <c r="ES180" s="90">
        <f t="shared" ref="ES180:ES196" si="193">CE180</f>
        <v>1.2074767078498865</v>
      </c>
      <c r="ET180" s="86">
        <f t="shared" ref="ET180:ET196" si="194">CF180</f>
        <v>20</v>
      </c>
      <c r="EU180" s="86">
        <f t="shared" ref="EU180:EU196" si="195">CG180</f>
        <v>20</v>
      </c>
      <c r="EV180" s="86">
        <f t="shared" ref="EV180:EV211" si="196">SQRT((((EP180-1)*EO180^2)+((ET180-1)*ES180^2))/((EP180+ET180)-2))</f>
        <v>1.1216059914247962</v>
      </c>
      <c r="EW180" s="86">
        <f t="shared" ref="EW180:EW211" si="197">(EN180-ER180)/EV180</f>
        <v>0.4012104102870892</v>
      </c>
      <c r="EX180" s="86">
        <f t="shared" ref="EX180:EX211" si="198">((EQ180+EU180)/(EQ180*EU180))+((EW180^2)/(2*(EP180+ET180)))</f>
        <v>0.10201212241653419</v>
      </c>
      <c r="EY180" s="86">
        <f t="shared" ref="EY180:EY211" si="199">1-(3/((4*(EP180+ET180-2))-1))</f>
        <v>0.98013245033112584</v>
      </c>
      <c r="EZ180" s="83">
        <f t="shared" ref="EZ180:EZ211" si="200">EY180*EW180</f>
        <v>0.3932393425330411</v>
      </c>
      <c r="FA180" s="83">
        <f t="shared" ref="FA180:FA211" si="201">(EY180^2)*EX180</f>
        <v>9.7998926775657427E-2</v>
      </c>
      <c r="FB180" s="83">
        <f t="shared" ref="FB180:FB211" si="202">EQ180+EU180</f>
        <v>40</v>
      </c>
      <c r="FC180" s="82" t="s">
        <v>125</v>
      </c>
    </row>
    <row r="181" spans="1:159" s="84" customFormat="1" ht="17.100000000000001" customHeight="1">
      <c r="A181" s="144" t="s">
        <v>1794</v>
      </c>
      <c r="B181" s="154" t="s">
        <v>358</v>
      </c>
      <c r="C181" s="80" t="str">
        <f t="shared" si="150"/>
        <v>Scharenbroch, B. C., Nix, B., Jacobs, K. A., &amp; Bowles, M. L. 2012.  Two decades of low-severity prescribed fire increases soil nutrient availability in a Midwestern, USA oak (Quercus) forest. Geoderma. 183-184: 80-91.</v>
      </c>
      <c r="D181" s="154" t="s">
        <v>1466</v>
      </c>
      <c r="E181" s="156">
        <v>2012</v>
      </c>
      <c r="F181" s="155" t="s">
        <v>2336</v>
      </c>
      <c r="G181" s="155" t="s">
        <v>353</v>
      </c>
      <c r="H181" s="156" t="s">
        <v>354</v>
      </c>
      <c r="I181" s="156" t="s">
        <v>355</v>
      </c>
      <c r="J181" s="79" t="s">
        <v>1577</v>
      </c>
      <c r="K181" s="155" t="s">
        <v>356</v>
      </c>
      <c r="L181" s="79" t="s">
        <v>101</v>
      </c>
      <c r="M181" s="83" t="s">
        <v>73</v>
      </c>
      <c r="N181" s="82" t="s">
        <v>389</v>
      </c>
      <c r="O181" s="82"/>
      <c r="P181" s="156" t="s">
        <v>16</v>
      </c>
      <c r="Q181" s="155" t="s">
        <v>334</v>
      </c>
      <c r="R181" s="155" t="s">
        <v>335</v>
      </c>
      <c r="S181" s="155"/>
      <c r="T181" s="158" t="s">
        <v>357</v>
      </c>
      <c r="U181" s="158" t="s">
        <v>337</v>
      </c>
      <c r="V181" s="99">
        <v>41.82</v>
      </c>
      <c r="W181" s="99">
        <v>-88.05</v>
      </c>
      <c r="X181" s="103"/>
      <c r="Y181" s="66" t="s">
        <v>1896</v>
      </c>
      <c r="Z181" s="66" t="s">
        <v>2203</v>
      </c>
      <c r="AA181" s="97" t="s">
        <v>555</v>
      </c>
      <c r="AB181" s="79" t="s">
        <v>103</v>
      </c>
      <c r="AC181" s="79" t="s">
        <v>64</v>
      </c>
      <c r="AD181" s="79" t="s">
        <v>64</v>
      </c>
      <c r="AE181" s="79"/>
      <c r="AF181" s="82" t="s">
        <v>156</v>
      </c>
      <c r="AG181" s="82" t="s">
        <v>92</v>
      </c>
      <c r="AH181" s="82" t="s">
        <v>64</v>
      </c>
      <c r="AI181" s="82" t="s">
        <v>276</v>
      </c>
      <c r="AJ181" s="86">
        <v>2</v>
      </c>
      <c r="AK181" s="86" t="s">
        <v>1161</v>
      </c>
      <c r="AL181" s="86">
        <v>16</v>
      </c>
      <c r="AM181" s="84" t="s">
        <v>359</v>
      </c>
      <c r="AN181" s="84" t="s">
        <v>527</v>
      </c>
      <c r="AO181" s="84" t="s">
        <v>2107</v>
      </c>
      <c r="AP181" s="68" t="s">
        <v>2229</v>
      </c>
      <c r="AQ181" s="82" t="s">
        <v>88</v>
      </c>
      <c r="AR181" s="86">
        <v>1</v>
      </c>
      <c r="AS181" s="86">
        <v>10</v>
      </c>
      <c r="AT181" s="86" t="s">
        <v>64</v>
      </c>
      <c r="AU181" s="90">
        <v>23</v>
      </c>
      <c r="AV181" s="88">
        <v>0.69565217391304346</v>
      </c>
      <c r="AW181" s="82"/>
      <c r="AX181" s="82" t="s">
        <v>80</v>
      </c>
      <c r="AY181" s="86">
        <v>2</v>
      </c>
      <c r="AZ181" s="86">
        <v>1</v>
      </c>
      <c r="BA181" s="86" t="s">
        <v>360</v>
      </c>
      <c r="BB181" s="86" t="s">
        <v>64</v>
      </c>
      <c r="BC181" s="82"/>
      <c r="BD181" s="83" t="s">
        <v>124</v>
      </c>
      <c r="BE181" s="82" t="s">
        <v>182</v>
      </c>
      <c r="BF181" s="83" t="s">
        <v>386</v>
      </c>
      <c r="BG181" s="82" t="s">
        <v>21</v>
      </c>
      <c r="BH181" s="82" t="s">
        <v>81</v>
      </c>
      <c r="BI181" s="84" t="s">
        <v>365</v>
      </c>
      <c r="BJ181" s="89">
        <f t="shared" si="185"/>
        <v>23</v>
      </c>
      <c r="BK181" s="84">
        <v>276</v>
      </c>
      <c r="BL181" s="84" t="s">
        <v>1294</v>
      </c>
      <c r="BM181" s="88">
        <v>1.5</v>
      </c>
      <c r="BN181" s="82" t="s">
        <v>379</v>
      </c>
      <c r="BO181" s="82" t="s">
        <v>361</v>
      </c>
      <c r="BP181" s="82" t="s">
        <v>64</v>
      </c>
      <c r="BQ181" s="82"/>
      <c r="BR181" s="82" t="s">
        <v>364</v>
      </c>
      <c r="BS181" s="82" t="s">
        <v>2125</v>
      </c>
      <c r="BT181" s="82" t="s">
        <v>1245</v>
      </c>
      <c r="BU181" s="86">
        <v>8.75</v>
      </c>
      <c r="BV181" s="86">
        <v>0.77</v>
      </c>
      <c r="BW181" s="90">
        <v>3.4435446853496763</v>
      </c>
      <c r="BX181" s="86">
        <v>20</v>
      </c>
      <c r="BY181" s="86">
        <v>20</v>
      </c>
      <c r="BZ181" s="82" t="s">
        <v>216</v>
      </c>
      <c r="CA181" s="82" t="s">
        <v>395</v>
      </c>
      <c r="CB181" s="82" t="s">
        <v>80</v>
      </c>
      <c r="CC181" s="86">
        <v>5.15</v>
      </c>
      <c r="CD181" s="86">
        <v>0.57999999999999996</v>
      </c>
      <c r="CE181" s="90">
        <v>2.5938388538997561</v>
      </c>
      <c r="CF181" s="86">
        <v>20</v>
      </c>
      <c r="CG181" s="86">
        <v>20</v>
      </c>
      <c r="CH181" s="82" t="s">
        <v>216</v>
      </c>
      <c r="CI181" s="82" t="s">
        <v>395</v>
      </c>
      <c r="CJ181" s="82"/>
      <c r="CK181" s="86"/>
      <c r="CL181" s="86"/>
      <c r="CM181" s="86"/>
      <c r="CN181" s="86"/>
      <c r="CO181" s="86"/>
      <c r="CP181" s="82"/>
      <c r="CQ181" s="82"/>
      <c r="CR181" s="82"/>
      <c r="CS181" s="86"/>
      <c r="CT181" s="86"/>
      <c r="CU181" s="86"/>
      <c r="CV181" s="86"/>
      <c r="CW181" s="86"/>
      <c r="CX181" s="82"/>
      <c r="CY181" s="82"/>
      <c r="CZ181" s="82"/>
      <c r="DA181" s="82"/>
      <c r="DB181" s="82"/>
      <c r="DC181" s="82"/>
      <c r="DD181" s="82"/>
      <c r="DE181" s="82"/>
      <c r="DF181" s="82"/>
      <c r="DG181" s="82"/>
      <c r="DH181" s="82"/>
      <c r="DI181" s="82"/>
      <c r="DJ181" s="82"/>
      <c r="DK181" s="82"/>
      <c r="DL181" s="82"/>
      <c r="DM181" s="82"/>
      <c r="DN181" s="82"/>
      <c r="DO181" s="82"/>
      <c r="DP181" s="82"/>
      <c r="DQ181" s="82"/>
      <c r="DR181" s="82"/>
      <c r="DS181" s="82"/>
      <c r="DT181" s="82"/>
      <c r="DU181" s="82"/>
      <c r="DV181" s="82"/>
      <c r="DW181" s="82"/>
      <c r="DX181" s="82"/>
      <c r="DY181" s="86"/>
      <c r="DZ181" s="86"/>
      <c r="EA181" s="86"/>
      <c r="EB181" s="86"/>
      <c r="EC181" s="86"/>
      <c r="ED181" s="82"/>
      <c r="EE181" s="82"/>
      <c r="EF181" s="82"/>
      <c r="EG181" s="86"/>
      <c r="EH181" s="86"/>
      <c r="EI181" s="86"/>
      <c r="EJ181" s="86"/>
      <c r="EK181" s="86"/>
      <c r="EL181" s="82"/>
      <c r="EM181" s="82"/>
      <c r="EN181" s="86">
        <f t="shared" si="188"/>
        <v>8.75</v>
      </c>
      <c r="EO181" s="90">
        <f t="shared" si="189"/>
        <v>3.4435446853496763</v>
      </c>
      <c r="EP181" s="86">
        <f t="shared" si="190"/>
        <v>20</v>
      </c>
      <c r="EQ181" s="86">
        <f t="shared" si="191"/>
        <v>20</v>
      </c>
      <c r="ER181" s="86">
        <f t="shared" si="192"/>
        <v>5.15</v>
      </c>
      <c r="ES181" s="90">
        <f t="shared" si="193"/>
        <v>2.5938388538997561</v>
      </c>
      <c r="ET181" s="86">
        <f t="shared" si="194"/>
        <v>20</v>
      </c>
      <c r="EU181" s="86">
        <f t="shared" si="195"/>
        <v>20</v>
      </c>
      <c r="EV181" s="86">
        <f t="shared" si="196"/>
        <v>3.0484422251372916</v>
      </c>
      <c r="EW181" s="86">
        <f t="shared" si="197"/>
        <v>1.180931024480173</v>
      </c>
      <c r="EX181" s="86">
        <f t="shared" si="198"/>
        <v>0.1174324760572474</v>
      </c>
      <c r="EY181" s="86">
        <f t="shared" si="199"/>
        <v>0.98013245033112584</v>
      </c>
      <c r="EZ181" s="83">
        <f t="shared" si="200"/>
        <v>1.1574688186957987</v>
      </c>
      <c r="FA181" s="83">
        <f t="shared" si="201"/>
        <v>0.11281263784737279</v>
      </c>
      <c r="FB181" s="83">
        <f t="shared" si="202"/>
        <v>40</v>
      </c>
      <c r="FC181" s="82" t="s">
        <v>125</v>
      </c>
    </row>
    <row r="182" spans="1:159" s="84" customFormat="1" ht="17.100000000000001" customHeight="1">
      <c r="A182" s="144" t="s">
        <v>1794</v>
      </c>
      <c r="B182" s="138" t="s">
        <v>358</v>
      </c>
      <c r="C182" s="80" t="str">
        <f t="shared" si="150"/>
        <v>Scharenbroch, B. C., Nix, B., Jacobs, K. A., &amp; Bowles, M. L. 2012.  Two decades of low-severity prescribed fire increases soil nutrient availability in a Midwestern, USA oak (Quercus) forest. Geoderma. 183-184: 80-91.</v>
      </c>
      <c r="D182" s="138" t="s">
        <v>1466</v>
      </c>
      <c r="E182" s="99">
        <v>2012</v>
      </c>
      <c r="F182" s="158" t="s">
        <v>2336</v>
      </c>
      <c r="G182" s="158" t="s">
        <v>353</v>
      </c>
      <c r="H182" s="99" t="s">
        <v>354</v>
      </c>
      <c r="I182" s="99" t="s">
        <v>355</v>
      </c>
      <c r="J182" s="79" t="s">
        <v>1577</v>
      </c>
      <c r="K182" s="158" t="s">
        <v>356</v>
      </c>
      <c r="L182" s="158" t="s">
        <v>101</v>
      </c>
      <c r="M182" s="83" t="s">
        <v>73</v>
      </c>
      <c r="N182" s="82" t="s">
        <v>389</v>
      </c>
      <c r="O182" s="82"/>
      <c r="P182" s="99" t="s">
        <v>16</v>
      </c>
      <c r="Q182" s="158" t="s">
        <v>334</v>
      </c>
      <c r="R182" s="158" t="s">
        <v>335</v>
      </c>
      <c r="S182" s="158"/>
      <c r="T182" s="158" t="s">
        <v>357</v>
      </c>
      <c r="U182" s="158" t="s">
        <v>337</v>
      </c>
      <c r="V182" s="81">
        <v>41.82</v>
      </c>
      <c r="W182" s="99">
        <v>-88.05</v>
      </c>
      <c r="X182" s="103"/>
      <c r="Y182" s="66" t="s">
        <v>1896</v>
      </c>
      <c r="Z182" s="66" t="s">
        <v>2203</v>
      </c>
      <c r="AA182" s="97" t="s">
        <v>555</v>
      </c>
      <c r="AB182" s="79" t="s">
        <v>103</v>
      </c>
      <c r="AC182" s="79" t="s">
        <v>64</v>
      </c>
      <c r="AD182" s="79" t="s">
        <v>64</v>
      </c>
      <c r="AE182" s="79"/>
      <c r="AF182" s="82" t="s">
        <v>156</v>
      </c>
      <c r="AG182" s="82" t="s">
        <v>92</v>
      </c>
      <c r="AH182" s="82" t="s">
        <v>64</v>
      </c>
      <c r="AI182" s="82" t="s">
        <v>276</v>
      </c>
      <c r="AJ182" s="86">
        <v>2</v>
      </c>
      <c r="AK182" s="86" t="s">
        <v>1161</v>
      </c>
      <c r="AL182" s="86">
        <v>16</v>
      </c>
      <c r="AM182" s="84" t="s">
        <v>359</v>
      </c>
      <c r="AN182" s="84" t="s">
        <v>527</v>
      </c>
      <c r="AO182" s="84" t="s">
        <v>2107</v>
      </c>
      <c r="AP182" s="68" t="s">
        <v>2229</v>
      </c>
      <c r="AQ182" s="82" t="s">
        <v>88</v>
      </c>
      <c r="AR182" s="86">
        <v>1</v>
      </c>
      <c r="AS182" s="86">
        <v>10</v>
      </c>
      <c r="AT182" s="86">
        <v>9</v>
      </c>
      <c r="AU182" s="90">
        <v>23</v>
      </c>
      <c r="AV182" s="88">
        <v>0.69565217391304346</v>
      </c>
      <c r="AW182" s="82" t="s">
        <v>396</v>
      </c>
      <c r="AX182" s="82" t="s">
        <v>80</v>
      </c>
      <c r="AY182" s="86">
        <v>2</v>
      </c>
      <c r="AZ182" s="86">
        <v>1</v>
      </c>
      <c r="BA182" s="86" t="s">
        <v>360</v>
      </c>
      <c r="BB182" s="86" t="s">
        <v>1755</v>
      </c>
      <c r="BC182" s="82" t="s">
        <v>1756</v>
      </c>
      <c r="BD182" s="83" t="s">
        <v>392</v>
      </c>
      <c r="BE182" s="82" t="s">
        <v>182</v>
      </c>
      <c r="BF182" s="83" t="s">
        <v>120</v>
      </c>
      <c r="BG182" s="82" t="s">
        <v>21</v>
      </c>
      <c r="BH182" s="82" t="s">
        <v>81</v>
      </c>
      <c r="BI182" s="84" t="s">
        <v>363</v>
      </c>
      <c r="BJ182" s="89">
        <f t="shared" si="185"/>
        <v>23</v>
      </c>
      <c r="BK182" s="84">
        <v>276</v>
      </c>
      <c r="BL182" s="84">
        <v>12</v>
      </c>
      <c r="BM182" s="88">
        <v>1</v>
      </c>
      <c r="BN182" s="82" t="s">
        <v>379</v>
      </c>
      <c r="BO182" s="82" t="s">
        <v>1890</v>
      </c>
      <c r="BP182" s="82" t="s">
        <v>64</v>
      </c>
      <c r="BQ182" s="82"/>
      <c r="BR182" s="82" t="s">
        <v>1889</v>
      </c>
      <c r="BS182" s="82" t="s">
        <v>2165</v>
      </c>
      <c r="BT182" s="82" t="s">
        <v>1245</v>
      </c>
      <c r="BU182" s="86">
        <v>9.77</v>
      </c>
      <c r="BV182" s="86"/>
      <c r="BW182" s="90">
        <v>1.7210461934532728</v>
      </c>
      <c r="BX182" s="86">
        <v>20</v>
      </c>
      <c r="BY182" s="86">
        <v>20</v>
      </c>
      <c r="BZ182" s="82" t="s">
        <v>1757</v>
      </c>
      <c r="CA182" s="82" t="s">
        <v>395</v>
      </c>
      <c r="CB182" s="82" t="s">
        <v>80</v>
      </c>
      <c r="CC182" s="86">
        <v>9.8998525073746322</v>
      </c>
      <c r="CD182" s="86"/>
      <c r="CE182" s="90">
        <v>1.5601281998605114</v>
      </c>
      <c r="CF182" s="86">
        <v>20</v>
      </c>
      <c r="CG182" s="86">
        <v>20</v>
      </c>
      <c r="CH182" s="82" t="s">
        <v>1757</v>
      </c>
      <c r="CI182" s="82" t="s">
        <v>395</v>
      </c>
      <c r="CJ182" s="82"/>
      <c r="CK182" s="86"/>
      <c r="CL182" s="86"/>
      <c r="CM182" s="86"/>
      <c r="CN182" s="86"/>
      <c r="CO182" s="86"/>
      <c r="CP182" s="82"/>
      <c r="CQ182" s="82"/>
      <c r="CR182" s="82"/>
      <c r="CS182" s="86"/>
      <c r="CT182" s="86"/>
      <c r="CU182" s="86"/>
      <c r="CV182" s="86"/>
      <c r="CW182" s="86"/>
      <c r="CX182" s="82"/>
      <c r="CY182" s="82"/>
      <c r="CZ182" s="82"/>
      <c r="DA182" s="82"/>
      <c r="DB182" s="82"/>
      <c r="DC182" s="82"/>
      <c r="DD182" s="82"/>
      <c r="DE182" s="82"/>
      <c r="DF182" s="82"/>
      <c r="DG182" s="82"/>
      <c r="DH182" s="82"/>
      <c r="DI182" s="82"/>
      <c r="DJ182" s="82"/>
      <c r="DK182" s="82"/>
      <c r="DL182" s="82"/>
      <c r="DM182" s="82"/>
      <c r="DN182" s="82"/>
      <c r="DO182" s="82"/>
      <c r="DP182" s="82"/>
      <c r="DQ182" s="82"/>
      <c r="DR182" s="82"/>
      <c r="DS182" s="82"/>
      <c r="DT182" s="82"/>
      <c r="DU182" s="82"/>
      <c r="DV182" s="82"/>
      <c r="DW182" s="82"/>
      <c r="DX182" s="82"/>
      <c r="DY182" s="86"/>
      <c r="DZ182" s="86"/>
      <c r="EA182" s="86"/>
      <c r="EB182" s="86"/>
      <c r="EC182" s="86"/>
      <c r="ED182" s="82"/>
      <c r="EE182" s="82"/>
      <c r="EF182" s="82"/>
      <c r="EG182" s="86"/>
      <c r="EH182" s="86"/>
      <c r="EI182" s="86"/>
      <c r="EJ182" s="86"/>
      <c r="EK182" s="86"/>
      <c r="EL182" s="82"/>
      <c r="EM182" s="82"/>
      <c r="EN182" s="86">
        <f t="shared" si="188"/>
        <v>9.77</v>
      </c>
      <c r="EO182" s="90">
        <f t="shared" si="189"/>
        <v>1.7210461934532728</v>
      </c>
      <c r="EP182" s="86">
        <f t="shared" si="190"/>
        <v>20</v>
      </c>
      <c r="EQ182" s="86">
        <f t="shared" si="191"/>
        <v>20</v>
      </c>
      <c r="ER182" s="86">
        <f t="shared" si="192"/>
        <v>9.8998525073746322</v>
      </c>
      <c r="ES182" s="90">
        <f t="shared" si="193"/>
        <v>1.5601281998605114</v>
      </c>
      <c r="ET182" s="86">
        <f t="shared" si="194"/>
        <v>20</v>
      </c>
      <c r="EU182" s="86">
        <f t="shared" si="195"/>
        <v>20</v>
      </c>
      <c r="EV182" s="86">
        <f t="shared" si="196"/>
        <v>1.6425589791541733</v>
      </c>
      <c r="EW182" s="86">
        <f t="shared" si="197"/>
        <v>-7.9055004430647266E-2</v>
      </c>
      <c r="EX182" s="86">
        <f t="shared" si="198"/>
        <v>0.10007812117156913</v>
      </c>
      <c r="EY182" s="86">
        <f t="shared" si="199"/>
        <v>0.98013245033112584</v>
      </c>
      <c r="EZ182" s="83">
        <f t="shared" si="200"/>
        <v>-7.7484375203548311E-2</v>
      </c>
      <c r="FA182" s="83">
        <f t="shared" si="201"/>
        <v>9.6141009874218239E-2</v>
      </c>
      <c r="FB182" s="83">
        <f t="shared" si="202"/>
        <v>40</v>
      </c>
      <c r="FC182" s="82" t="s">
        <v>125</v>
      </c>
    </row>
    <row r="183" spans="1:159" s="84" customFormat="1" ht="17.100000000000001" customHeight="1">
      <c r="A183" s="144" t="s">
        <v>1794</v>
      </c>
      <c r="B183" s="138" t="s">
        <v>358</v>
      </c>
      <c r="C183" s="80" t="str">
        <f t="shared" si="150"/>
        <v>Scharenbroch, B. C., Nix, B., Jacobs, K. A., &amp; Bowles, M. L. 2012.  Two decades of low-severity prescribed fire increases soil nutrient availability in a Midwestern, USA oak (Quercus) forest. Geoderma. 183-184: 80-91.</v>
      </c>
      <c r="D183" s="138" t="s">
        <v>1466</v>
      </c>
      <c r="E183" s="99">
        <v>2012</v>
      </c>
      <c r="F183" s="158" t="s">
        <v>2336</v>
      </c>
      <c r="G183" s="158" t="s">
        <v>353</v>
      </c>
      <c r="H183" s="99" t="s">
        <v>354</v>
      </c>
      <c r="I183" s="99" t="s">
        <v>355</v>
      </c>
      <c r="J183" s="79" t="s">
        <v>1577</v>
      </c>
      <c r="K183" s="158" t="s">
        <v>356</v>
      </c>
      <c r="L183" s="158" t="s">
        <v>101</v>
      </c>
      <c r="M183" s="83" t="s">
        <v>73</v>
      </c>
      <c r="N183" s="82" t="s">
        <v>389</v>
      </c>
      <c r="O183" s="82"/>
      <c r="P183" s="99" t="s">
        <v>16</v>
      </c>
      <c r="Q183" s="158" t="s">
        <v>334</v>
      </c>
      <c r="R183" s="158" t="s">
        <v>335</v>
      </c>
      <c r="S183" s="158"/>
      <c r="T183" s="158" t="s">
        <v>357</v>
      </c>
      <c r="U183" s="158" t="s">
        <v>337</v>
      </c>
      <c r="V183" s="81">
        <v>41.82</v>
      </c>
      <c r="W183" s="99">
        <v>-88.05</v>
      </c>
      <c r="X183" s="103"/>
      <c r="Y183" s="66" t="s">
        <v>1896</v>
      </c>
      <c r="Z183" s="66" t="s">
        <v>2203</v>
      </c>
      <c r="AA183" s="97" t="s">
        <v>555</v>
      </c>
      <c r="AB183" s="79" t="s">
        <v>103</v>
      </c>
      <c r="AC183" s="79" t="s">
        <v>64</v>
      </c>
      <c r="AD183" s="79" t="s">
        <v>64</v>
      </c>
      <c r="AE183" s="79"/>
      <c r="AF183" s="82" t="s">
        <v>156</v>
      </c>
      <c r="AG183" s="82" t="s">
        <v>92</v>
      </c>
      <c r="AH183" s="82" t="s">
        <v>64</v>
      </c>
      <c r="AI183" s="82" t="s">
        <v>276</v>
      </c>
      <c r="AJ183" s="86">
        <v>2</v>
      </c>
      <c r="AK183" s="86" t="s">
        <v>1161</v>
      </c>
      <c r="AL183" s="86">
        <v>16</v>
      </c>
      <c r="AM183" s="84" t="s">
        <v>359</v>
      </c>
      <c r="AN183" s="84" t="s">
        <v>527</v>
      </c>
      <c r="AO183" s="84" t="s">
        <v>2107</v>
      </c>
      <c r="AP183" s="68" t="s">
        <v>2229</v>
      </c>
      <c r="AQ183" s="82" t="s">
        <v>88</v>
      </c>
      <c r="AR183" s="86">
        <v>1</v>
      </c>
      <c r="AS183" s="86">
        <v>10</v>
      </c>
      <c r="AT183" s="86">
        <v>9</v>
      </c>
      <c r="AU183" s="90">
        <v>23</v>
      </c>
      <c r="AV183" s="88">
        <v>0.69314079422382679</v>
      </c>
      <c r="AW183" s="82" t="s">
        <v>397</v>
      </c>
      <c r="AX183" s="82" t="s">
        <v>80</v>
      </c>
      <c r="AY183" s="86">
        <v>2</v>
      </c>
      <c r="AZ183" s="86">
        <v>1</v>
      </c>
      <c r="BA183" s="86" t="s">
        <v>360</v>
      </c>
      <c r="BB183" s="86" t="s">
        <v>1755</v>
      </c>
      <c r="BC183" s="82" t="s">
        <v>397</v>
      </c>
      <c r="BD183" s="83" t="s">
        <v>394</v>
      </c>
      <c r="BE183" s="82" t="s">
        <v>157</v>
      </c>
      <c r="BF183" s="83" t="s">
        <v>120</v>
      </c>
      <c r="BG183" s="82" t="s">
        <v>21</v>
      </c>
      <c r="BH183" s="82" t="s">
        <v>81</v>
      </c>
      <c r="BI183" s="84" t="s">
        <v>363</v>
      </c>
      <c r="BJ183" s="89">
        <f t="shared" si="185"/>
        <v>23</v>
      </c>
      <c r="BK183" s="84">
        <v>276</v>
      </c>
      <c r="BL183" s="84">
        <v>12</v>
      </c>
      <c r="BM183" s="88">
        <v>1</v>
      </c>
      <c r="BN183" s="82" t="s">
        <v>379</v>
      </c>
      <c r="BO183" s="82" t="s">
        <v>1890</v>
      </c>
      <c r="BP183" s="82" t="s">
        <v>64</v>
      </c>
      <c r="BQ183" s="82" t="s">
        <v>579</v>
      </c>
      <c r="BR183" s="82" t="s">
        <v>1889</v>
      </c>
      <c r="BS183" s="82" t="s">
        <v>2165</v>
      </c>
      <c r="BT183" s="82" t="s">
        <v>1245</v>
      </c>
      <c r="BU183" s="86">
        <v>0.59699999999999998</v>
      </c>
      <c r="BV183" s="86"/>
      <c r="BW183" s="90">
        <v>0.16490027289243642</v>
      </c>
      <c r="BX183" s="86">
        <v>20</v>
      </c>
      <c r="BY183" s="86">
        <v>20</v>
      </c>
      <c r="BZ183" s="82" t="s">
        <v>1757</v>
      </c>
      <c r="CA183" s="82" t="s">
        <v>395</v>
      </c>
      <c r="CB183" s="82" t="s">
        <v>80</v>
      </c>
      <c r="CC183" s="86">
        <v>1.6774830287206268</v>
      </c>
      <c r="CD183" s="86"/>
      <c r="CE183" s="90">
        <v>0.20100000000000001</v>
      </c>
      <c r="CF183" s="86">
        <v>20</v>
      </c>
      <c r="CG183" s="86">
        <v>20</v>
      </c>
      <c r="CH183" s="82" t="s">
        <v>1757</v>
      </c>
      <c r="CI183" s="82" t="s">
        <v>395</v>
      </c>
      <c r="CJ183" s="82"/>
      <c r="CK183" s="86"/>
      <c r="CL183" s="86"/>
      <c r="CM183" s="86"/>
      <c r="CN183" s="86"/>
      <c r="CO183" s="86"/>
      <c r="CP183" s="82"/>
      <c r="CQ183" s="82"/>
      <c r="CR183" s="82"/>
      <c r="CS183" s="86"/>
      <c r="CT183" s="86"/>
      <c r="CU183" s="86"/>
      <c r="CV183" s="86"/>
      <c r="CW183" s="86"/>
      <c r="CX183" s="82"/>
      <c r="CY183" s="82"/>
      <c r="CZ183" s="82"/>
      <c r="DA183" s="82"/>
      <c r="DB183" s="82"/>
      <c r="DC183" s="82"/>
      <c r="DD183" s="82"/>
      <c r="DE183" s="82"/>
      <c r="DF183" s="82"/>
      <c r="DG183" s="82"/>
      <c r="DH183" s="82"/>
      <c r="DI183" s="82"/>
      <c r="DJ183" s="82"/>
      <c r="DK183" s="82"/>
      <c r="DL183" s="82"/>
      <c r="DM183" s="82"/>
      <c r="DN183" s="82"/>
      <c r="DO183" s="82"/>
      <c r="DP183" s="82"/>
      <c r="DQ183" s="82"/>
      <c r="DR183" s="82"/>
      <c r="DS183" s="82"/>
      <c r="DT183" s="82"/>
      <c r="DU183" s="82"/>
      <c r="DV183" s="82"/>
      <c r="DW183" s="82"/>
      <c r="DX183" s="82"/>
      <c r="DY183" s="86"/>
      <c r="DZ183" s="86"/>
      <c r="EA183" s="86"/>
      <c r="EB183" s="86"/>
      <c r="EC183" s="86"/>
      <c r="ED183" s="82"/>
      <c r="EE183" s="82"/>
      <c r="EF183" s="82"/>
      <c r="EG183" s="86"/>
      <c r="EH183" s="86"/>
      <c r="EI183" s="86"/>
      <c r="EJ183" s="86"/>
      <c r="EK183" s="86"/>
      <c r="EL183" s="82"/>
      <c r="EM183" s="82"/>
      <c r="EN183" s="86">
        <f t="shared" si="188"/>
        <v>0.59699999999999998</v>
      </c>
      <c r="EO183" s="90">
        <f t="shared" si="189"/>
        <v>0.16490027289243642</v>
      </c>
      <c r="EP183" s="86">
        <f t="shared" si="190"/>
        <v>20</v>
      </c>
      <c r="EQ183" s="86">
        <f t="shared" si="191"/>
        <v>20</v>
      </c>
      <c r="ER183" s="86">
        <f t="shared" si="192"/>
        <v>1.6774830287206268</v>
      </c>
      <c r="ES183" s="90">
        <f t="shared" si="193"/>
        <v>0.20100000000000001</v>
      </c>
      <c r="ET183" s="86">
        <f t="shared" si="194"/>
        <v>20</v>
      </c>
      <c r="EU183" s="86">
        <f t="shared" si="195"/>
        <v>20</v>
      </c>
      <c r="EV183" s="86">
        <f t="shared" si="196"/>
        <v>0.18383838010600509</v>
      </c>
      <c r="EW183" s="86">
        <f t="shared" si="197"/>
        <v>-5.8773528579701235</v>
      </c>
      <c r="EX183" s="86">
        <f t="shared" si="198"/>
        <v>0.53179095771361973</v>
      </c>
      <c r="EY183" s="86">
        <f t="shared" si="199"/>
        <v>0.98013245033112584</v>
      </c>
      <c r="EZ183" s="83">
        <f t="shared" si="200"/>
        <v>-5.7605842581429023</v>
      </c>
      <c r="FA183" s="83">
        <f t="shared" si="201"/>
        <v>0.51087009945875739</v>
      </c>
      <c r="FB183" s="83">
        <f t="shared" si="202"/>
        <v>40</v>
      </c>
      <c r="FC183" s="82" t="s">
        <v>125</v>
      </c>
    </row>
    <row r="184" spans="1:159" s="82" customFormat="1" ht="17.100000000000001" customHeight="1">
      <c r="A184" s="144" t="s">
        <v>1794</v>
      </c>
      <c r="B184" s="138" t="s">
        <v>358</v>
      </c>
      <c r="C184" s="80" t="str">
        <f t="shared" si="150"/>
        <v>Scharenbroch, B. C., Nix, B., Jacobs, K. A., &amp; Bowles, M. L. 2012.  Two decades of low-severity prescribed fire increases soil nutrient availability in a Midwestern, USA oak (Quercus) forest. Geoderma. 183-184: 80-91.</v>
      </c>
      <c r="D184" s="138" t="s">
        <v>1466</v>
      </c>
      <c r="E184" s="99">
        <v>2012</v>
      </c>
      <c r="F184" s="158" t="s">
        <v>2336</v>
      </c>
      <c r="G184" s="158" t="s">
        <v>353</v>
      </c>
      <c r="H184" s="99" t="s">
        <v>354</v>
      </c>
      <c r="I184" s="99" t="s">
        <v>355</v>
      </c>
      <c r="J184" s="79" t="s">
        <v>1577</v>
      </c>
      <c r="K184" s="79" t="s">
        <v>356</v>
      </c>
      <c r="L184" s="79" t="s">
        <v>101</v>
      </c>
      <c r="M184" s="83" t="s">
        <v>73</v>
      </c>
      <c r="N184" s="82" t="s">
        <v>389</v>
      </c>
      <c r="P184" s="81" t="s">
        <v>16</v>
      </c>
      <c r="Q184" s="79" t="s">
        <v>334</v>
      </c>
      <c r="R184" s="79" t="s">
        <v>335</v>
      </c>
      <c r="S184" s="79"/>
      <c r="T184" s="79" t="s">
        <v>357</v>
      </c>
      <c r="U184" s="79" t="s">
        <v>337</v>
      </c>
      <c r="V184" s="81">
        <v>41.82</v>
      </c>
      <c r="W184" s="81">
        <v>-88.05</v>
      </c>
      <c r="X184" s="103"/>
      <c r="Y184" s="66" t="s">
        <v>1896</v>
      </c>
      <c r="Z184" s="66" t="s">
        <v>2203</v>
      </c>
      <c r="AA184" s="97" t="s">
        <v>555</v>
      </c>
      <c r="AB184" s="79" t="s">
        <v>103</v>
      </c>
      <c r="AC184" s="79" t="s">
        <v>64</v>
      </c>
      <c r="AD184" s="79" t="s">
        <v>64</v>
      </c>
      <c r="AE184" s="79"/>
      <c r="AF184" s="138" t="s">
        <v>156</v>
      </c>
      <c r="AG184" s="82" t="s">
        <v>92</v>
      </c>
      <c r="AH184" s="82" t="s">
        <v>64</v>
      </c>
      <c r="AI184" s="82" t="s">
        <v>276</v>
      </c>
      <c r="AJ184" s="86">
        <v>2</v>
      </c>
      <c r="AK184" s="86" t="s">
        <v>1161</v>
      </c>
      <c r="AL184" s="86">
        <v>16</v>
      </c>
      <c r="AM184" s="84" t="s">
        <v>359</v>
      </c>
      <c r="AN184" s="84" t="s">
        <v>527</v>
      </c>
      <c r="AO184" s="84" t="s">
        <v>2107</v>
      </c>
      <c r="AP184" s="68" t="s">
        <v>2229</v>
      </c>
      <c r="AQ184" s="82" t="s">
        <v>88</v>
      </c>
      <c r="AR184" s="86">
        <v>1</v>
      </c>
      <c r="AS184" s="86">
        <v>10</v>
      </c>
      <c r="AT184" s="86" t="s">
        <v>64</v>
      </c>
      <c r="AU184" s="90">
        <v>23</v>
      </c>
      <c r="AV184" s="88">
        <v>0.69565217391304346</v>
      </c>
      <c r="AX184" s="82" t="s">
        <v>80</v>
      </c>
      <c r="AY184" s="86">
        <v>2</v>
      </c>
      <c r="AZ184" s="86">
        <v>1</v>
      </c>
      <c r="BA184" s="86" t="s">
        <v>360</v>
      </c>
      <c r="BB184" s="86" t="s">
        <v>64</v>
      </c>
      <c r="BD184" s="83" t="s">
        <v>124</v>
      </c>
      <c r="BE184" s="82" t="s">
        <v>182</v>
      </c>
      <c r="BF184" s="83" t="s">
        <v>2109</v>
      </c>
      <c r="BG184" s="82" t="s">
        <v>21</v>
      </c>
      <c r="BH184" s="82" t="s">
        <v>81</v>
      </c>
      <c r="BI184" s="84" t="s">
        <v>365</v>
      </c>
      <c r="BJ184" s="89">
        <f t="shared" si="185"/>
        <v>23</v>
      </c>
      <c r="BK184" s="84">
        <v>276</v>
      </c>
      <c r="BL184" s="84" t="s">
        <v>1294</v>
      </c>
      <c r="BM184" s="88">
        <v>1.5</v>
      </c>
      <c r="BN184" s="82" t="s">
        <v>379</v>
      </c>
      <c r="BO184" s="82" t="s">
        <v>361</v>
      </c>
      <c r="BP184" s="82" t="s">
        <v>64</v>
      </c>
      <c r="BR184" s="82" t="s">
        <v>364</v>
      </c>
      <c r="BS184" s="82" t="s">
        <v>2125</v>
      </c>
      <c r="BT184" s="82" t="s">
        <v>1245</v>
      </c>
      <c r="BU184" s="86">
        <v>5.375</v>
      </c>
      <c r="BV184" s="86"/>
      <c r="BW184" s="90">
        <v>0.80361682411457769</v>
      </c>
      <c r="BX184" s="86">
        <v>20</v>
      </c>
      <c r="BY184" s="86">
        <v>20</v>
      </c>
      <c r="BZ184" s="82" t="s">
        <v>2110</v>
      </c>
      <c r="CA184" s="82" t="s">
        <v>395</v>
      </c>
      <c r="CB184" s="82" t="s">
        <v>80</v>
      </c>
      <c r="CC184" s="86">
        <v>3.35</v>
      </c>
      <c r="CD184" s="86"/>
      <c r="CE184" s="90">
        <v>0.63976558206893253</v>
      </c>
      <c r="CF184" s="86">
        <v>20</v>
      </c>
      <c r="CG184" s="86">
        <v>20</v>
      </c>
      <c r="CH184" s="82" t="s">
        <v>216</v>
      </c>
      <c r="CI184" s="82" t="s">
        <v>395</v>
      </c>
      <c r="CK184" s="86"/>
      <c r="CL184" s="86"/>
      <c r="CM184" s="86"/>
      <c r="CN184" s="86"/>
      <c r="CO184" s="86"/>
      <c r="CS184" s="86"/>
      <c r="CT184" s="86"/>
      <c r="CU184" s="86"/>
      <c r="CV184" s="86"/>
      <c r="CW184" s="86"/>
      <c r="DY184" s="86"/>
      <c r="DZ184" s="86"/>
      <c r="EA184" s="86"/>
      <c r="EB184" s="86"/>
      <c r="EC184" s="86"/>
      <c r="EG184" s="86"/>
      <c r="EH184" s="86"/>
      <c r="EI184" s="86"/>
      <c r="EJ184" s="86"/>
      <c r="EK184" s="86"/>
      <c r="EN184" s="86">
        <f t="shared" si="188"/>
        <v>5.375</v>
      </c>
      <c r="EO184" s="90">
        <f t="shared" si="189"/>
        <v>0.80361682411457769</v>
      </c>
      <c r="EP184" s="86">
        <f t="shared" si="190"/>
        <v>20</v>
      </c>
      <c r="EQ184" s="86">
        <f t="shared" si="191"/>
        <v>20</v>
      </c>
      <c r="ER184" s="86">
        <f t="shared" si="192"/>
        <v>3.35</v>
      </c>
      <c r="ES184" s="90">
        <f t="shared" si="193"/>
        <v>0.63976558206893253</v>
      </c>
      <c r="ET184" s="86">
        <f t="shared" si="194"/>
        <v>20</v>
      </c>
      <c r="EU184" s="86">
        <f t="shared" si="195"/>
        <v>20</v>
      </c>
      <c r="EV184" s="86">
        <f t="shared" si="196"/>
        <v>0.72632637292060387</v>
      </c>
      <c r="EW184" s="86">
        <f t="shared" si="197"/>
        <v>2.7880028531214527</v>
      </c>
      <c r="EX184" s="86">
        <f t="shared" si="198"/>
        <v>0.197161998862667</v>
      </c>
      <c r="EY184" s="86">
        <f t="shared" si="199"/>
        <v>0.98013245033112584</v>
      </c>
      <c r="EZ184" s="83">
        <f t="shared" si="200"/>
        <v>2.7326120679600994</v>
      </c>
      <c r="FA184" s="83">
        <f t="shared" si="201"/>
        <v>0.18940557094372432</v>
      </c>
      <c r="FB184" s="83">
        <f t="shared" si="202"/>
        <v>40</v>
      </c>
      <c r="FC184" s="82" t="s">
        <v>125</v>
      </c>
    </row>
    <row r="185" spans="1:159" s="82" customFormat="1" ht="17.100000000000001" customHeight="1">
      <c r="A185" s="144" t="s">
        <v>1788</v>
      </c>
      <c r="B185" s="138" t="s">
        <v>1938</v>
      </c>
      <c r="C185" s="80" t="str">
        <f t="shared" si="150"/>
        <v>Scudieri, C. A., Sieg, C. H., Haase, S. M., Thode, A. E., &amp; Sackett, S. S. 2010.  Understory vegetation response after 30 years of interval prescribed burning in two ponderosa pine sites in northern Arizona, USA. Forest Ecology and Management. 260: 2134-2142.</v>
      </c>
      <c r="D185" s="138" t="s">
        <v>1462</v>
      </c>
      <c r="E185" s="99">
        <v>2010</v>
      </c>
      <c r="F185" s="158" t="s">
        <v>232</v>
      </c>
      <c r="G185" s="158" t="s">
        <v>20</v>
      </c>
      <c r="H185" s="99">
        <v>260</v>
      </c>
      <c r="I185" s="99" t="s">
        <v>233</v>
      </c>
      <c r="J185" s="79"/>
      <c r="K185" s="79" t="s">
        <v>234</v>
      </c>
      <c r="L185" s="82" t="s">
        <v>101</v>
      </c>
      <c r="M185" s="83" t="s">
        <v>73</v>
      </c>
      <c r="N185" s="82" t="s">
        <v>389</v>
      </c>
      <c r="P185" s="81" t="s">
        <v>16</v>
      </c>
      <c r="Q185" s="79" t="s">
        <v>61</v>
      </c>
      <c r="R185" s="79" t="s">
        <v>261</v>
      </c>
      <c r="S185" s="79"/>
      <c r="T185" s="79" t="s">
        <v>262</v>
      </c>
      <c r="U185" s="79" t="s">
        <v>263</v>
      </c>
      <c r="V185" s="81">
        <v>35.299999999999997</v>
      </c>
      <c r="W185" s="81">
        <v>-111.7</v>
      </c>
      <c r="X185" s="81">
        <v>2250</v>
      </c>
      <c r="Y185" s="99" t="s">
        <v>1899</v>
      </c>
      <c r="Z185" s="66" t="s">
        <v>2204</v>
      </c>
      <c r="AA185" s="97" t="s">
        <v>49</v>
      </c>
      <c r="AB185" s="79" t="s">
        <v>64</v>
      </c>
      <c r="AC185" s="79" t="s">
        <v>64</v>
      </c>
      <c r="AD185" s="79" t="s">
        <v>64</v>
      </c>
      <c r="AE185" s="82" t="s">
        <v>236</v>
      </c>
      <c r="AF185" s="138" t="s">
        <v>86</v>
      </c>
      <c r="AG185" s="82" t="s">
        <v>92</v>
      </c>
      <c r="AH185" s="82" t="s">
        <v>106</v>
      </c>
      <c r="AI185" s="82" t="s">
        <v>276</v>
      </c>
      <c r="AJ185" s="86">
        <v>3</v>
      </c>
      <c r="AK185" s="86" t="s">
        <v>240</v>
      </c>
      <c r="AL185" s="86">
        <v>31.5</v>
      </c>
      <c r="AM185" s="84" t="s">
        <v>225</v>
      </c>
      <c r="AN185" s="84" t="s">
        <v>524</v>
      </c>
      <c r="AO185" s="84" t="s">
        <v>524</v>
      </c>
      <c r="AP185" s="68" t="s">
        <v>2228</v>
      </c>
      <c r="AQ185" s="82" t="s">
        <v>88</v>
      </c>
      <c r="AR185" s="86">
        <v>1</v>
      </c>
      <c r="AS185" s="86"/>
      <c r="AT185" s="86"/>
      <c r="AU185" s="90">
        <v>32</v>
      </c>
      <c r="AV185" s="88">
        <v>1.0161290322580645</v>
      </c>
      <c r="AW185" s="82" t="s">
        <v>243</v>
      </c>
      <c r="AX185" s="82" t="s">
        <v>80</v>
      </c>
      <c r="AY185" s="86">
        <v>3</v>
      </c>
      <c r="AZ185" s="86">
        <v>1</v>
      </c>
      <c r="BA185" s="86"/>
      <c r="BB185" s="86"/>
      <c r="BD185" s="83" t="s">
        <v>124</v>
      </c>
      <c r="BE185" s="82" t="s">
        <v>182</v>
      </c>
      <c r="BF185" s="83" t="s">
        <v>110</v>
      </c>
      <c r="BG185" s="82" t="s">
        <v>21</v>
      </c>
      <c r="BH185" s="82" t="s">
        <v>81</v>
      </c>
      <c r="BI185" s="84" t="s">
        <v>1328</v>
      </c>
      <c r="BJ185" s="89">
        <f>372/12</f>
        <v>31</v>
      </c>
      <c r="BK185" s="84" t="s">
        <v>260</v>
      </c>
      <c r="BL185" s="111" t="s">
        <v>1305</v>
      </c>
      <c r="BM185" s="88">
        <v>0.625</v>
      </c>
      <c r="BN185" s="82" t="s">
        <v>379</v>
      </c>
      <c r="BO185" s="82" t="s">
        <v>158</v>
      </c>
      <c r="BP185" s="82" t="s">
        <v>64</v>
      </c>
      <c r="BR185" s="82" t="s">
        <v>388</v>
      </c>
      <c r="BS185" s="82" t="s">
        <v>388</v>
      </c>
      <c r="BT185" s="82" t="s">
        <v>414</v>
      </c>
      <c r="BU185" s="86">
        <v>346</v>
      </c>
      <c r="BV185" s="86">
        <v>32</v>
      </c>
      <c r="BW185" s="90">
        <v>55.42562584220407</v>
      </c>
      <c r="BX185" s="86">
        <v>3</v>
      </c>
      <c r="BY185" s="86">
        <v>3</v>
      </c>
      <c r="BZ185" s="82" t="s">
        <v>147</v>
      </c>
      <c r="CA185" s="82" t="s">
        <v>1329</v>
      </c>
      <c r="CB185" s="82" t="s">
        <v>80</v>
      </c>
      <c r="CC185" s="86">
        <v>288</v>
      </c>
      <c r="CD185" s="86">
        <v>35</v>
      </c>
      <c r="CE185" s="90">
        <v>60.621778264910702</v>
      </c>
      <c r="CF185" s="86">
        <v>3</v>
      </c>
      <c r="CG185" s="86">
        <v>3</v>
      </c>
      <c r="CH185" s="82" t="s">
        <v>147</v>
      </c>
      <c r="CI185" s="82" t="s">
        <v>1329</v>
      </c>
      <c r="CK185" s="86"/>
      <c r="CL185" s="86"/>
      <c r="CM185" s="86"/>
      <c r="CN185" s="86"/>
      <c r="CO185" s="86"/>
      <c r="CS185" s="86"/>
      <c r="CT185" s="86"/>
      <c r="CU185" s="86"/>
      <c r="CV185" s="86"/>
      <c r="CW185" s="86"/>
      <c r="DY185" s="86"/>
      <c r="DZ185" s="86"/>
      <c r="EA185" s="86"/>
      <c r="EB185" s="86"/>
      <c r="EC185" s="86"/>
      <c r="EG185" s="86"/>
      <c r="EH185" s="86"/>
      <c r="EI185" s="86"/>
      <c r="EJ185" s="86"/>
      <c r="EK185" s="86"/>
      <c r="EN185" s="86">
        <f t="shared" si="188"/>
        <v>346</v>
      </c>
      <c r="EO185" s="90">
        <f t="shared" si="189"/>
        <v>55.42562584220407</v>
      </c>
      <c r="EP185" s="86">
        <f t="shared" si="190"/>
        <v>3</v>
      </c>
      <c r="EQ185" s="86">
        <f t="shared" si="191"/>
        <v>3</v>
      </c>
      <c r="ER185" s="86">
        <f t="shared" si="192"/>
        <v>288</v>
      </c>
      <c r="ES185" s="90">
        <f t="shared" si="193"/>
        <v>60.621778264910702</v>
      </c>
      <c r="ET185" s="86">
        <f t="shared" si="194"/>
        <v>3</v>
      </c>
      <c r="EU185" s="86">
        <f t="shared" si="195"/>
        <v>3</v>
      </c>
      <c r="EV185" s="86">
        <f t="shared" si="196"/>
        <v>58.08183881386676</v>
      </c>
      <c r="EW185" s="86">
        <f t="shared" si="197"/>
        <v>0.9985909741230985</v>
      </c>
      <c r="EX185" s="86">
        <f t="shared" si="198"/>
        <v>0.74976532780000982</v>
      </c>
      <c r="EY185" s="86">
        <f t="shared" si="199"/>
        <v>0.8</v>
      </c>
      <c r="EZ185" s="83">
        <f t="shared" si="200"/>
        <v>0.79887277929847889</v>
      </c>
      <c r="FA185" s="83">
        <f t="shared" si="201"/>
        <v>0.47984980979200637</v>
      </c>
      <c r="FB185" s="83">
        <f t="shared" si="202"/>
        <v>6</v>
      </c>
      <c r="FC185" s="82" t="s">
        <v>460</v>
      </c>
    </row>
    <row r="186" spans="1:159" s="82" customFormat="1" ht="17.100000000000001" customHeight="1">
      <c r="A186" s="78" t="s">
        <v>1788</v>
      </c>
      <c r="B186" s="82" t="s">
        <v>1939</v>
      </c>
      <c r="C186" s="80" t="str">
        <f t="shared" si="150"/>
        <v>Scudieri, C. A., Sieg, C. H., Haase, S. M., Thode, A. E., &amp; Sackett, S. S. 2010.  Understory vegetation response after 30 years of interval prescribed burning in two ponderosa pine sites in northern Arizona, USA. Forest Ecology and Management. 260: 2134-2142.</v>
      </c>
      <c r="D186" s="82" t="s">
        <v>1462</v>
      </c>
      <c r="E186" s="81">
        <v>2010</v>
      </c>
      <c r="F186" s="79" t="s">
        <v>232</v>
      </c>
      <c r="G186" s="79" t="s">
        <v>20</v>
      </c>
      <c r="H186" s="81">
        <v>260</v>
      </c>
      <c r="I186" s="81" t="s">
        <v>233</v>
      </c>
      <c r="J186" s="79"/>
      <c r="K186" s="79" t="s">
        <v>234</v>
      </c>
      <c r="L186" s="82" t="s">
        <v>101</v>
      </c>
      <c r="M186" s="83" t="s">
        <v>73</v>
      </c>
      <c r="N186" s="82" t="s">
        <v>389</v>
      </c>
      <c r="P186" s="81" t="s">
        <v>16</v>
      </c>
      <c r="Q186" s="79" t="s">
        <v>61</v>
      </c>
      <c r="R186" s="79" t="s">
        <v>261</v>
      </c>
      <c r="S186" s="79"/>
      <c r="T186" s="79" t="s">
        <v>262</v>
      </c>
      <c r="U186" s="79" t="s">
        <v>263</v>
      </c>
      <c r="V186" s="81">
        <v>35.299999999999997</v>
      </c>
      <c r="W186" s="81">
        <v>-111.7</v>
      </c>
      <c r="X186" s="81">
        <v>2250</v>
      </c>
      <c r="Y186" s="99" t="s">
        <v>1899</v>
      </c>
      <c r="Z186" s="66" t="s">
        <v>2204</v>
      </c>
      <c r="AA186" s="97" t="s">
        <v>49</v>
      </c>
      <c r="AB186" s="79" t="s">
        <v>64</v>
      </c>
      <c r="AC186" s="79" t="s">
        <v>64</v>
      </c>
      <c r="AD186" s="79" t="s">
        <v>64</v>
      </c>
      <c r="AE186" s="82" t="s">
        <v>236</v>
      </c>
      <c r="AF186" s="82" t="s">
        <v>86</v>
      </c>
      <c r="AG186" s="82" t="s">
        <v>92</v>
      </c>
      <c r="AH186" s="82" t="s">
        <v>106</v>
      </c>
      <c r="AI186" s="82" t="s">
        <v>276</v>
      </c>
      <c r="AJ186" s="86">
        <v>3</v>
      </c>
      <c r="AK186" s="86">
        <v>16</v>
      </c>
      <c r="AL186" s="86">
        <v>16</v>
      </c>
      <c r="AM186" s="84" t="s">
        <v>225</v>
      </c>
      <c r="AN186" s="84" t="s">
        <v>524</v>
      </c>
      <c r="AO186" s="84" t="s">
        <v>524</v>
      </c>
      <c r="AP186" s="68" t="s">
        <v>2228</v>
      </c>
      <c r="AQ186" s="82" t="s">
        <v>88</v>
      </c>
      <c r="AR186" s="86">
        <v>1</v>
      </c>
      <c r="AS186" s="86"/>
      <c r="AT186" s="86"/>
      <c r="AU186" s="90">
        <v>32</v>
      </c>
      <c r="AV186" s="88">
        <v>0.55172413793103448</v>
      </c>
      <c r="AW186" s="82" t="s">
        <v>244</v>
      </c>
      <c r="AX186" s="82" t="s">
        <v>80</v>
      </c>
      <c r="AY186" s="86">
        <v>3</v>
      </c>
      <c r="AZ186" s="86">
        <v>1</v>
      </c>
      <c r="BA186" s="86"/>
      <c r="BB186" s="86"/>
      <c r="BD186" s="83" t="s">
        <v>124</v>
      </c>
      <c r="BE186" s="82" t="s">
        <v>182</v>
      </c>
      <c r="BF186" s="83" t="s">
        <v>110</v>
      </c>
      <c r="BG186" s="82" t="s">
        <v>21</v>
      </c>
      <c r="BH186" s="82" t="s">
        <v>81</v>
      </c>
      <c r="BI186" s="84" t="s">
        <v>1328</v>
      </c>
      <c r="BJ186" s="89">
        <f>348/12</f>
        <v>29</v>
      </c>
      <c r="BK186" s="84" t="s">
        <v>255</v>
      </c>
      <c r="BL186" s="84" t="s">
        <v>1304</v>
      </c>
      <c r="BM186" s="88">
        <v>1.625</v>
      </c>
      <c r="BN186" s="82" t="s">
        <v>379</v>
      </c>
      <c r="BO186" s="82" t="s">
        <v>158</v>
      </c>
      <c r="BP186" s="82" t="s">
        <v>64</v>
      </c>
      <c r="BR186" s="82" t="s">
        <v>388</v>
      </c>
      <c r="BS186" s="82" t="s">
        <v>388</v>
      </c>
      <c r="BT186" s="82" t="s">
        <v>415</v>
      </c>
      <c r="BU186" s="86">
        <v>371</v>
      </c>
      <c r="BV186" s="86">
        <v>26</v>
      </c>
      <c r="BW186" s="90">
        <v>45.033320996790806</v>
      </c>
      <c r="BX186" s="86">
        <v>3</v>
      </c>
      <c r="BY186" s="86">
        <v>3</v>
      </c>
      <c r="BZ186" s="82" t="s">
        <v>147</v>
      </c>
      <c r="CA186" s="82" t="s">
        <v>1329</v>
      </c>
      <c r="CB186" s="82" t="s">
        <v>80</v>
      </c>
      <c r="CC186" s="86">
        <v>288</v>
      </c>
      <c r="CD186" s="86">
        <v>35</v>
      </c>
      <c r="CE186" s="90">
        <v>60.621778264910702</v>
      </c>
      <c r="CF186" s="86">
        <v>3</v>
      </c>
      <c r="CG186" s="86">
        <v>3</v>
      </c>
      <c r="CH186" s="82" t="s">
        <v>147</v>
      </c>
      <c r="CI186" s="82" t="s">
        <v>1329</v>
      </c>
      <c r="CK186" s="86"/>
      <c r="CL186" s="86"/>
      <c r="CM186" s="86"/>
      <c r="CN186" s="86"/>
      <c r="CO186" s="86"/>
      <c r="CS186" s="86"/>
      <c r="CT186" s="86"/>
      <c r="CU186" s="86"/>
      <c r="CV186" s="86"/>
      <c r="CW186" s="86"/>
      <c r="DY186" s="86"/>
      <c r="DZ186" s="86"/>
      <c r="EA186" s="86"/>
      <c r="EB186" s="86"/>
      <c r="EC186" s="86"/>
      <c r="EG186" s="86"/>
      <c r="EH186" s="86"/>
      <c r="EI186" s="86"/>
      <c r="EJ186" s="86"/>
      <c r="EK186" s="86"/>
      <c r="EN186" s="86">
        <f t="shared" si="188"/>
        <v>371</v>
      </c>
      <c r="EO186" s="90">
        <f t="shared" si="189"/>
        <v>45.033320996790806</v>
      </c>
      <c r="EP186" s="86">
        <f t="shared" si="190"/>
        <v>3</v>
      </c>
      <c r="EQ186" s="86">
        <f t="shared" si="191"/>
        <v>3</v>
      </c>
      <c r="ER186" s="86">
        <f t="shared" si="192"/>
        <v>288</v>
      </c>
      <c r="ES186" s="90">
        <f t="shared" si="193"/>
        <v>60.621778264910702</v>
      </c>
      <c r="ET186" s="86">
        <f t="shared" si="194"/>
        <v>3</v>
      </c>
      <c r="EU186" s="86">
        <f t="shared" si="195"/>
        <v>3</v>
      </c>
      <c r="EV186" s="86">
        <f t="shared" si="196"/>
        <v>53.399438199291943</v>
      </c>
      <c r="EW186" s="86">
        <f t="shared" si="197"/>
        <v>1.5543234685397973</v>
      </c>
      <c r="EX186" s="86">
        <f t="shared" si="198"/>
        <v>0.86799345373779879</v>
      </c>
      <c r="EY186" s="86">
        <f t="shared" si="199"/>
        <v>0.8</v>
      </c>
      <c r="EZ186" s="83">
        <f t="shared" si="200"/>
        <v>1.243458774831838</v>
      </c>
      <c r="FA186" s="83">
        <f t="shared" si="201"/>
        <v>0.55551581039219133</v>
      </c>
      <c r="FB186" s="83">
        <f t="shared" si="202"/>
        <v>6</v>
      </c>
      <c r="FC186" s="82" t="s">
        <v>460</v>
      </c>
    </row>
    <row r="187" spans="1:159" s="82" customFormat="1" ht="17.100000000000001" customHeight="1">
      <c r="A187" s="78" t="s">
        <v>1788</v>
      </c>
      <c r="B187" s="82" t="s">
        <v>1940</v>
      </c>
      <c r="C187" s="80" t="str">
        <f t="shared" si="150"/>
        <v>Scudieri, C. A., Sieg, C. H., Haase, S. M., Thode, A. E., &amp; Sackett, S. S. 2010.  Understory vegetation response after 30 years of interval prescribed burning in two ponderosa pine sites in northern Arizona, USA. Forest Ecology and Management. 260: 2134-2142.</v>
      </c>
      <c r="D187" s="82" t="s">
        <v>1462</v>
      </c>
      <c r="E187" s="81">
        <v>2010</v>
      </c>
      <c r="F187" s="79" t="s">
        <v>232</v>
      </c>
      <c r="G187" s="79" t="s">
        <v>20</v>
      </c>
      <c r="H187" s="81">
        <v>260</v>
      </c>
      <c r="I187" s="81" t="s">
        <v>233</v>
      </c>
      <c r="J187" s="79"/>
      <c r="K187" s="79" t="s">
        <v>234</v>
      </c>
      <c r="L187" s="82" t="s">
        <v>101</v>
      </c>
      <c r="M187" s="83" t="s">
        <v>73</v>
      </c>
      <c r="N187" s="82" t="s">
        <v>389</v>
      </c>
      <c r="P187" s="81" t="s">
        <v>16</v>
      </c>
      <c r="Q187" s="79" t="s">
        <v>61</v>
      </c>
      <c r="R187" s="79" t="s">
        <v>261</v>
      </c>
      <c r="S187" s="79"/>
      <c r="T187" s="79" t="s">
        <v>262</v>
      </c>
      <c r="U187" s="79" t="s">
        <v>263</v>
      </c>
      <c r="V187" s="81">
        <v>35.299999999999997</v>
      </c>
      <c r="W187" s="81">
        <v>-111.7</v>
      </c>
      <c r="X187" s="81">
        <v>2250</v>
      </c>
      <c r="Y187" s="99" t="s">
        <v>1899</v>
      </c>
      <c r="Z187" s="66" t="s">
        <v>2204</v>
      </c>
      <c r="AA187" s="97" t="s">
        <v>49</v>
      </c>
      <c r="AB187" s="79" t="s">
        <v>64</v>
      </c>
      <c r="AC187" s="79" t="s">
        <v>64</v>
      </c>
      <c r="AD187" s="79" t="s">
        <v>64</v>
      </c>
      <c r="AE187" s="82" t="s">
        <v>236</v>
      </c>
      <c r="AF187" s="82" t="s">
        <v>86</v>
      </c>
      <c r="AG187" s="82" t="s">
        <v>92</v>
      </c>
      <c r="AH187" s="82" t="s">
        <v>106</v>
      </c>
      <c r="AI187" s="82" t="s">
        <v>276</v>
      </c>
      <c r="AJ187" s="86">
        <v>3</v>
      </c>
      <c r="AK187" s="86">
        <v>8</v>
      </c>
      <c r="AL187" s="86">
        <v>8</v>
      </c>
      <c r="AM187" s="84" t="s">
        <v>225</v>
      </c>
      <c r="AN187" s="84" t="s">
        <v>524</v>
      </c>
      <c r="AO187" s="84" t="s">
        <v>524</v>
      </c>
      <c r="AP187" s="68" t="s">
        <v>2228</v>
      </c>
      <c r="AQ187" s="82" t="s">
        <v>88</v>
      </c>
      <c r="AR187" s="86">
        <v>1</v>
      </c>
      <c r="AS187" s="86"/>
      <c r="AT187" s="86"/>
      <c r="AU187" s="90">
        <v>32</v>
      </c>
      <c r="AV187" s="88">
        <v>0.29629629629629628</v>
      </c>
      <c r="AW187" s="82" t="s">
        <v>245</v>
      </c>
      <c r="AX187" s="82" t="s">
        <v>80</v>
      </c>
      <c r="AY187" s="86">
        <v>3</v>
      </c>
      <c r="AZ187" s="86">
        <v>1</v>
      </c>
      <c r="BA187" s="86"/>
      <c r="BB187" s="86"/>
      <c r="BD187" s="83" t="s">
        <v>124</v>
      </c>
      <c r="BE187" s="82" t="s">
        <v>182</v>
      </c>
      <c r="BF187" s="83" t="s">
        <v>110</v>
      </c>
      <c r="BG187" s="82" t="s">
        <v>21</v>
      </c>
      <c r="BH187" s="82" t="s">
        <v>81</v>
      </c>
      <c r="BI187" s="84" t="s">
        <v>1328</v>
      </c>
      <c r="BJ187" s="89">
        <f>324/12</f>
        <v>27</v>
      </c>
      <c r="BK187" s="84" t="s">
        <v>256</v>
      </c>
      <c r="BL187" s="84" t="s">
        <v>1303</v>
      </c>
      <c r="BM187" s="88">
        <v>3.375</v>
      </c>
      <c r="BN187" s="82" t="s">
        <v>379</v>
      </c>
      <c r="BO187" s="82" t="s">
        <v>158</v>
      </c>
      <c r="BP187" s="82" t="s">
        <v>64</v>
      </c>
      <c r="BR187" s="82" t="s">
        <v>388</v>
      </c>
      <c r="BS187" s="82" t="s">
        <v>388</v>
      </c>
      <c r="BT187" s="82" t="s">
        <v>416</v>
      </c>
      <c r="BU187" s="86">
        <v>368</v>
      </c>
      <c r="BV187" s="86">
        <v>25</v>
      </c>
      <c r="BW187" s="90">
        <v>43.301270189221931</v>
      </c>
      <c r="BX187" s="86">
        <v>3</v>
      </c>
      <c r="BY187" s="86">
        <v>3</v>
      </c>
      <c r="BZ187" s="82" t="s">
        <v>147</v>
      </c>
      <c r="CA187" s="82" t="s">
        <v>1329</v>
      </c>
      <c r="CB187" s="82" t="s">
        <v>80</v>
      </c>
      <c r="CC187" s="86">
        <v>288</v>
      </c>
      <c r="CD187" s="86">
        <v>35</v>
      </c>
      <c r="CE187" s="90">
        <v>60.621778264910702</v>
      </c>
      <c r="CF187" s="86">
        <v>3</v>
      </c>
      <c r="CG187" s="86">
        <v>3</v>
      </c>
      <c r="CH187" s="82" t="s">
        <v>147</v>
      </c>
      <c r="CI187" s="82" t="s">
        <v>1329</v>
      </c>
      <c r="CK187" s="86"/>
      <c r="CL187" s="86"/>
      <c r="CM187" s="86"/>
      <c r="CN187" s="86"/>
      <c r="CO187" s="86"/>
      <c r="CS187" s="86"/>
      <c r="CT187" s="86"/>
      <c r="CU187" s="86"/>
      <c r="CV187" s="86"/>
      <c r="CW187" s="86"/>
      <c r="DY187" s="86"/>
      <c r="DZ187" s="86"/>
      <c r="EA187" s="86"/>
      <c r="EB187" s="86"/>
      <c r="EC187" s="86"/>
      <c r="EG187" s="86"/>
      <c r="EH187" s="86"/>
      <c r="EI187" s="86"/>
      <c r="EJ187" s="86"/>
      <c r="EK187" s="86"/>
      <c r="EN187" s="86">
        <f t="shared" si="188"/>
        <v>368</v>
      </c>
      <c r="EO187" s="90">
        <f t="shared" si="189"/>
        <v>43.301270189221931</v>
      </c>
      <c r="EP187" s="86">
        <f t="shared" si="190"/>
        <v>3</v>
      </c>
      <c r="EQ187" s="86">
        <f t="shared" si="191"/>
        <v>3</v>
      </c>
      <c r="ER187" s="86">
        <f t="shared" si="192"/>
        <v>288</v>
      </c>
      <c r="ES187" s="90">
        <f t="shared" si="193"/>
        <v>60.621778264910702</v>
      </c>
      <c r="ET187" s="86">
        <f t="shared" si="194"/>
        <v>3</v>
      </c>
      <c r="EU187" s="86">
        <f t="shared" si="195"/>
        <v>3</v>
      </c>
      <c r="EV187" s="86">
        <f t="shared" si="196"/>
        <v>52.678268764263692</v>
      </c>
      <c r="EW187" s="86">
        <f t="shared" si="197"/>
        <v>1.5186527932039984</v>
      </c>
      <c r="EX187" s="86">
        <f t="shared" si="198"/>
        <v>0.85885885885885882</v>
      </c>
      <c r="EY187" s="86">
        <f t="shared" si="199"/>
        <v>0.8</v>
      </c>
      <c r="EZ187" s="83">
        <f t="shared" si="200"/>
        <v>1.2149222345631987</v>
      </c>
      <c r="FA187" s="83">
        <f t="shared" si="201"/>
        <v>0.54966966966966979</v>
      </c>
      <c r="FB187" s="83">
        <f t="shared" si="202"/>
        <v>6</v>
      </c>
      <c r="FC187" s="82" t="s">
        <v>460</v>
      </c>
    </row>
    <row r="188" spans="1:159" s="84" customFormat="1" ht="17.100000000000001" customHeight="1">
      <c r="A188" s="78" t="s">
        <v>1788</v>
      </c>
      <c r="B188" s="82" t="s">
        <v>1941</v>
      </c>
      <c r="C188" s="80" t="str">
        <f t="shared" si="150"/>
        <v>Scudieri, C. A., Sieg, C. H., Haase, S. M., Thode, A. E., &amp; Sackett, S. S. 2010.  Understory vegetation response after 30 years of interval prescribed burning in two ponderosa pine sites in northern Arizona, USA. Forest Ecology and Management. 260: 2134-2142.</v>
      </c>
      <c r="D188" s="82" t="s">
        <v>1462</v>
      </c>
      <c r="E188" s="81">
        <v>2010</v>
      </c>
      <c r="F188" s="79" t="s">
        <v>232</v>
      </c>
      <c r="G188" s="79" t="s">
        <v>20</v>
      </c>
      <c r="H188" s="81">
        <v>260</v>
      </c>
      <c r="I188" s="81" t="s">
        <v>233</v>
      </c>
      <c r="J188" s="79"/>
      <c r="K188" s="79" t="s">
        <v>234</v>
      </c>
      <c r="L188" s="82" t="s">
        <v>101</v>
      </c>
      <c r="M188" s="83" t="s">
        <v>73</v>
      </c>
      <c r="N188" s="82" t="s">
        <v>389</v>
      </c>
      <c r="O188" s="82"/>
      <c r="P188" s="81" t="s">
        <v>16</v>
      </c>
      <c r="Q188" s="79" t="s">
        <v>61</v>
      </c>
      <c r="R188" s="79" t="s">
        <v>261</v>
      </c>
      <c r="S188" s="79"/>
      <c r="T188" s="79" t="s">
        <v>262</v>
      </c>
      <c r="U188" s="79" t="s">
        <v>263</v>
      </c>
      <c r="V188" s="81">
        <v>35.299999999999997</v>
      </c>
      <c r="W188" s="81">
        <v>-111.7</v>
      </c>
      <c r="X188" s="81">
        <v>2250</v>
      </c>
      <c r="Y188" s="99" t="s">
        <v>1899</v>
      </c>
      <c r="Z188" s="66" t="s">
        <v>2204</v>
      </c>
      <c r="AA188" s="97" t="s">
        <v>49</v>
      </c>
      <c r="AB188" s="79" t="s">
        <v>64</v>
      </c>
      <c r="AC188" s="79" t="s">
        <v>64</v>
      </c>
      <c r="AD188" s="79" t="s">
        <v>64</v>
      </c>
      <c r="AE188" s="82" t="s">
        <v>236</v>
      </c>
      <c r="AF188" s="82" t="s">
        <v>86</v>
      </c>
      <c r="AG188" s="82" t="s">
        <v>92</v>
      </c>
      <c r="AH188" s="82" t="s">
        <v>106</v>
      </c>
      <c r="AI188" s="82" t="s">
        <v>276</v>
      </c>
      <c r="AJ188" s="86">
        <v>3</v>
      </c>
      <c r="AK188" s="86">
        <v>6</v>
      </c>
      <c r="AL188" s="86">
        <v>6</v>
      </c>
      <c r="AM188" s="84" t="s">
        <v>225</v>
      </c>
      <c r="AN188" s="84" t="s">
        <v>524</v>
      </c>
      <c r="AO188" s="84" t="s">
        <v>524</v>
      </c>
      <c r="AP188" s="68" t="s">
        <v>2228</v>
      </c>
      <c r="AQ188" s="82" t="s">
        <v>88</v>
      </c>
      <c r="AR188" s="86">
        <v>1</v>
      </c>
      <c r="AS188" s="86"/>
      <c r="AT188" s="86"/>
      <c r="AU188" s="90">
        <v>32</v>
      </c>
      <c r="AV188" s="88">
        <v>0.24</v>
      </c>
      <c r="AW188" s="82" t="s">
        <v>246</v>
      </c>
      <c r="AX188" s="82" t="s">
        <v>80</v>
      </c>
      <c r="AY188" s="86">
        <v>3</v>
      </c>
      <c r="AZ188" s="86">
        <v>1</v>
      </c>
      <c r="BA188" s="86"/>
      <c r="BB188" s="86"/>
      <c r="BC188" s="82"/>
      <c r="BD188" s="83" t="s">
        <v>124</v>
      </c>
      <c r="BE188" s="82" t="s">
        <v>182</v>
      </c>
      <c r="BF188" s="83" t="s">
        <v>110</v>
      </c>
      <c r="BG188" s="82" t="s">
        <v>21</v>
      </c>
      <c r="BH188" s="82" t="s">
        <v>81</v>
      </c>
      <c r="BI188" s="84" t="s">
        <v>1328</v>
      </c>
      <c r="BJ188" s="89">
        <f>300/12</f>
        <v>25</v>
      </c>
      <c r="BK188" s="84" t="s">
        <v>257</v>
      </c>
      <c r="BL188" s="84" t="s">
        <v>1302</v>
      </c>
      <c r="BM188" s="88">
        <v>5.625</v>
      </c>
      <c r="BN188" s="82" t="s">
        <v>379</v>
      </c>
      <c r="BO188" s="82" t="s">
        <v>158</v>
      </c>
      <c r="BP188" s="82" t="s">
        <v>64</v>
      </c>
      <c r="BQ188" s="82"/>
      <c r="BR188" s="82" t="s">
        <v>388</v>
      </c>
      <c r="BS188" s="82" t="s">
        <v>388</v>
      </c>
      <c r="BT188" s="82" t="s">
        <v>417</v>
      </c>
      <c r="BU188" s="86">
        <v>366</v>
      </c>
      <c r="BV188" s="86">
        <v>46</v>
      </c>
      <c r="BW188" s="90">
        <v>79.674337148168348</v>
      </c>
      <c r="BX188" s="86">
        <v>3</v>
      </c>
      <c r="BY188" s="86">
        <v>3</v>
      </c>
      <c r="BZ188" s="82" t="s">
        <v>147</v>
      </c>
      <c r="CA188" s="82" t="s">
        <v>1329</v>
      </c>
      <c r="CB188" s="82" t="s">
        <v>80</v>
      </c>
      <c r="CC188" s="86">
        <v>288</v>
      </c>
      <c r="CD188" s="86">
        <v>35</v>
      </c>
      <c r="CE188" s="90">
        <v>60.621778264910702</v>
      </c>
      <c r="CF188" s="86">
        <v>3</v>
      </c>
      <c r="CG188" s="86">
        <v>3</v>
      </c>
      <c r="CH188" s="82" t="s">
        <v>147</v>
      </c>
      <c r="CI188" s="82" t="s">
        <v>1329</v>
      </c>
      <c r="CJ188" s="82"/>
      <c r="CK188" s="86"/>
      <c r="CL188" s="86"/>
      <c r="CM188" s="86"/>
      <c r="CN188" s="86"/>
      <c r="CO188" s="86"/>
      <c r="CP188" s="82"/>
      <c r="CQ188" s="82"/>
      <c r="CR188" s="82"/>
      <c r="CS188" s="86"/>
      <c r="CT188" s="86"/>
      <c r="CU188" s="86"/>
      <c r="CV188" s="86"/>
      <c r="CW188" s="86"/>
      <c r="CX188" s="82"/>
      <c r="CY188" s="82"/>
      <c r="CZ188" s="82"/>
      <c r="DA188" s="82"/>
      <c r="DB188" s="82"/>
      <c r="DC188" s="82"/>
      <c r="DD188" s="82"/>
      <c r="DE188" s="82"/>
      <c r="DF188" s="82"/>
      <c r="DG188" s="82"/>
      <c r="DH188" s="82"/>
      <c r="DI188" s="82"/>
      <c r="DJ188" s="82"/>
      <c r="DK188" s="82"/>
      <c r="DL188" s="82"/>
      <c r="DM188" s="82"/>
      <c r="DN188" s="82"/>
      <c r="DO188" s="82"/>
      <c r="DP188" s="82"/>
      <c r="DQ188" s="82"/>
      <c r="DR188" s="82"/>
      <c r="DS188" s="82"/>
      <c r="DT188" s="82"/>
      <c r="DU188" s="82"/>
      <c r="DV188" s="82"/>
      <c r="DW188" s="82"/>
      <c r="DX188" s="82"/>
      <c r="DY188" s="86"/>
      <c r="DZ188" s="86"/>
      <c r="EA188" s="86"/>
      <c r="EB188" s="86"/>
      <c r="EC188" s="86"/>
      <c r="ED188" s="82"/>
      <c r="EE188" s="82"/>
      <c r="EF188" s="82"/>
      <c r="EG188" s="86"/>
      <c r="EH188" s="86"/>
      <c r="EI188" s="86"/>
      <c r="EJ188" s="86"/>
      <c r="EK188" s="86"/>
      <c r="EL188" s="82"/>
      <c r="EM188" s="82"/>
      <c r="EN188" s="86">
        <f t="shared" si="188"/>
        <v>366</v>
      </c>
      <c r="EO188" s="90">
        <f t="shared" si="189"/>
        <v>79.674337148168348</v>
      </c>
      <c r="EP188" s="86">
        <f t="shared" si="190"/>
        <v>3</v>
      </c>
      <c r="EQ188" s="86">
        <f t="shared" si="191"/>
        <v>3</v>
      </c>
      <c r="ER188" s="86">
        <f t="shared" si="192"/>
        <v>288</v>
      </c>
      <c r="ES188" s="90">
        <f t="shared" si="193"/>
        <v>60.621778264910702</v>
      </c>
      <c r="ET188" s="86">
        <f t="shared" si="194"/>
        <v>3</v>
      </c>
      <c r="EU188" s="86">
        <f t="shared" si="195"/>
        <v>3</v>
      </c>
      <c r="EV188" s="86">
        <f t="shared" si="196"/>
        <v>70.791948694749166</v>
      </c>
      <c r="EW188" s="86">
        <f t="shared" si="197"/>
        <v>1.1018202131478474</v>
      </c>
      <c r="EX188" s="86">
        <f t="shared" si="198"/>
        <v>0.76783398184176399</v>
      </c>
      <c r="EY188" s="86">
        <f t="shared" si="199"/>
        <v>0.8</v>
      </c>
      <c r="EZ188" s="83">
        <f t="shared" si="200"/>
        <v>0.88145617051827796</v>
      </c>
      <c r="FA188" s="83">
        <f t="shared" si="201"/>
        <v>0.49141374837872903</v>
      </c>
      <c r="FB188" s="83">
        <f t="shared" si="202"/>
        <v>6</v>
      </c>
      <c r="FC188" s="82" t="s">
        <v>460</v>
      </c>
    </row>
    <row r="189" spans="1:159" s="84" customFormat="1" ht="17.100000000000001" customHeight="1">
      <c r="A189" s="78" t="s">
        <v>1788</v>
      </c>
      <c r="B189" s="82" t="s">
        <v>1942</v>
      </c>
      <c r="C189" s="80" t="str">
        <f t="shared" si="150"/>
        <v>Scudieri, C. A., Sieg, C. H., Haase, S. M., Thode, A. E., &amp; Sackett, S. S. 2010.  Understory vegetation response after 30 years of interval prescribed burning in two ponderosa pine sites in northern Arizona, USA. Forest Ecology and Management. 260: 2134-2142.</v>
      </c>
      <c r="D189" s="82" t="s">
        <v>1462</v>
      </c>
      <c r="E189" s="81">
        <v>2010</v>
      </c>
      <c r="F189" s="79" t="s">
        <v>232</v>
      </c>
      <c r="G189" s="79" t="s">
        <v>20</v>
      </c>
      <c r="H189" s="81">
        <v>260</v>
      </c>
      <c r="I189" s="81" t="s">
        <v>233</v>
      </c>
      <c r="J189" s="79"/>
      <c r="K189" s="79" t="s">
        <v>234</v>
      </c>
      <c r="L189" s="82" t="s">
        <v>101</v>
      </c>
      <c r="M189" s="83" t="s">
        <v>73</v>
      </c>
      <c r="N189" s="82" t="s">
        <v>389</v>
      </c>
      <c r="O189" s="82"/>
      <c r="P189" s="81" t="s">
        <v>16</v>
      </c>
      <c r="Q189" s="79" t="s">
        <v>61</v>
      </c>
      <c r="R189" s="79" t="s">
        <v>261</v>
      </c>
      <c r="S189" s="79"/>
      <c r="T189" s="79" t="s">
        <v>262</v>
      </c>
      <c r="U189" s="79" t="s">
        <v>263</v>
      </c>
      <c r="V189" s="81">
        <v>35.299999999999997</v>
      </c>
      <c r="W189" s="81">
        <v>-111.7</v>
      </c>
      <c r="X189" s="81">
        <v>2250</v>
      </c>
      <c r="Y189" s="99" t="s">
        <v>1899</v>
      </c>
      <c r="Z189" s="66" t="s">
        <v>2204</v>
      </c>
      <c r="AA189" s="97" t="s">
        <v>49</v>
      </c>
      <c r="AB189" s="79" t="s">
        <v>64</v>
      </c>
      <c r="AC189" s="79" t="s">
        <v>64</v>
      </c>
      <c r="AD189" s="79" t="s">
        <v>64</v>
      </c>
      <c r="AE189" s="82" t="s">
        <v>236</v>
      </c>
      <c r="AF189" s="82" t="s">
        <v>86</v>
      </c>
      <c r="AG189" s="82" t="s">
        <v>92</v>
      </c>
      <c r="AH189" s="82" t="s">
        <v>106</v>
      </c>
      <c r="AI189" s="82" t="s">
        <v>276</v>
      </c>
      <c r="AJ189" s="86">
        <v>3</v>
      </c>
      <c r="AK189" s="86">
        <v>4</v>
      </c>
      <c r="AL189" s="86">
        <v>4</v>
      </c>
      <c r="AM189" s="84" t="s">
        <v>225</v>
      </c>
      <c r="AN189" s="84" t="s">
        <v>524</v>
      </c>
      <c r="AO189" s="84" t="s">
        <v>524</v>
      </c>
      <c r="AP189" s="68" t="s">
        <v>2228</v>
      </c>
      <c r="AQ189" s="82" t="s">
        <v>88</v>
      </c>
      <c r="AR189" s="86">
        <v>1</v>
      </c>
      <c r="AS189" s="86"/>
      <c r="AT189" s="86"/>
      <c r="AU189" s="90">
        <v>32</v>
      </c>
      <c r="AV189" s="88">
        <v>0.17391304347826086</v>
      </c>
      <c r="AW189" s="82" t="s">
        <v>247</v>
      </c>
      <c r="AX189" s="82" t="s">
        <v>80</v>
      </c>
      <c r="AY189" s="86">
        <v>3</v>
      </c>
      <c r="AZ189" s="86">
        <v>1</v>
      </c>
      <c r="BA189" s="86"/>
      <c r="BB189" s="86"/>
      <c r="BC189" s="82"/>
      <c r="BD189" s="83" t="s">
        <v>124</v>
      </c>
      <c r="BE189" s="82" t="s">
        <v>182</v>
      </c>
      <c r="BF189" s="83" t="s">
        <v>110</v>
      </c>
      <c r="BG189" s="82" t="s">
        <v>21</v>
      </c>
      <c r="BH189" s="82" t="s">
        <v>81</v>
      </c>
      <c r="BI189" s="84" t="s">
        <v>1328</v>
      </c>
      <c r="BJ189" s="89">
        <f>276/12</f>
        <v>23</v>
      </c>
      <c r="BK189" s="84" t="s">
        <v>258</v>
      </c>
      <c r="BL189" s="84" t="s">
        <v>1301</v>
      </c>
      <c r="BM189" s="88">
        <v>7.625</v>
      </c>
      <c r="BN189" s="82" t="s">
        <v>379</v>
      </c>
      <c r="BO189" s="82" t="s">
        <v>158</v>
      </c>
      <c r="BP189" s="82" t="s">
        <v>64</v>
      </c>
      <c r="BQ189" s="82"/>
      <c r="BR189" s="82" t="s">
        <v>388</v>
      </c>
      <c r="BS189" s="82" t="s">
        <v>388</v>
      </c>
      <c r="BT189" s="82" t="s">
        <v>418</v>
      </c>
      <c r="BU189" s="86">
        <v>322</v>
      </c>
      <c r="BV189" s="86">
        <v>47</v>
      </c>
      <c r="BW189" s="90">
        <v>81.40638795573723</v>
      </c>
      <c r="BX189" s="86">
        <v>3</v>
      </c>
      <c r="BY189" s="86">
        <v>3</v>
      </c>
      <c r="BZ189" s="82" t="s">
        <v>147</v>
      </c>
      <c r="CA189" s="82" t="s">
        <v>1329</v>
      </c>
      <c r="CB189" s="82" t="s">
        <v>80</v>
      </c>
      <c r="CC189" s="86">
        <v>288</v>
      </c>
      <c r="CD189" s="86">
        <v>35</v>
      </c>
      <c r="CE189" s="90">
        <v>60.621778264910702</v>
      </c>
      <c r="CF189" s="86">
        <v>3</v>
      </c>
      <c r="CG189" s="86">
        <v>3</v>
      </c>
      <c r="CH189" s="82" t="s">
        <v>147</v>
      </c>
      <c r="CI189" s="82" t="s">
        <v>1329</v>
      </c>
      <c r="CJ189" s="82"/>
      <c r="CK189" s="86"/>
      <c r="CL189" s="86"/>
      <c r="CM189" s="86"/>
      <c r="CN189" s="86"/>
      <c r="CO189" s="86"/>
      <c r="CP189" s="82"/>
      <c r="CQ189" s="82"/>
      <c r="CR189" s="82"/>
      <c r="CS189" s="86"/>
      <c r="CT189" s="86"/>
      <c r="CU189" s="86"/>
      <c r="CV189" s="86"/>
      <c r="CW189" s="86"/>
      <c r="CX189" s="82"/>
      <c r="CY189" s="82"/>
      <c r="CZ189" s="82"/>
      <c r="DA189" s="82"/>
      <c r="DB189" s="82"/>
      <c r="DC189" s="82"/>
      <c r="DD189" s="82"/>
      <c r="DE189" s="82"/>
      <c r="DF189" s="82"/>
      <c r="DG189" s="82"/>
      <c r="DH189" s="82"/>
      <c r="DI189" s="82"/>
      <c r="DJ189" s="82"/>
      <c r="DK189" s="82"/>
      <c r="DL189" s="82"/>
      <c r="DM189" s="82"/>
      <c r="DN189" s="82"/>
      <c r="DO189" s="82"/>
      <c r="DP189" s="82"/>
      <c r="DQ189" s="82"/>
      <c r="DR189" s="82"/>
      <c r="DS189" s="82"/>
      <c r="DT189" s="82"/>
      <c r="DU189" s="82"/>
      <c r="DV189" s="82"/>
      <c r="DW189" s="82"/>
      <c r="DX189" s="82"/>
      <c r="DY189" s="86"/>
      <c r="DZ189" s="86"/>
      <c r="EA189" s="86"/>
      <c r="EB189" s="86"/>
      <c r="EC189" s="86"/>
      <c r="ED189" s="82"/>
      <c r="EE189" s="82"/>
      <c r="EF189" s="82"/>
      <c r="EG189" s="86"/>
      <c r="EH189" s="86"/>
      <c r="EI189" s="86"/>
      <c r="EJ189" s="86"/>
      <c r="EK189" s="86"/>
      <c r="EL189" s="82"/>
      <c r="EM189" s="82"/>
      <c r="EN189" s="86">
        <f t="shared" si="188"/>
        <v>322</v>
      </c>
      <c r="EO189" s="90">
        <f t="shared" si="189"/>
        <v>81.40638795573723</v>
      </c>
      <c r="EP189" s="86">
        <f t="shared" si="190"/>
        <v>3</v>
      </c>
      <c r="EQ189" s="86">
        <f t="shared" si="191"/>
        <v>3</v>
      </c>
      <c r="ER189" s="86">
        <f t="shared" si="192"/>
        <v>288</v>
      </c>
      <c r="ES189" s="90">
        <f t="shared" si="193"/>
        <v>60.621778264910702</v>
      </c>
      <c r="ET189" s="86">
        <f t="shared" si="194"/>
        <v>3</v>
      </c>
      <c r="EU189" s="86">
        <f t="shared" si="195"/>
        <v>3</v>
      </c>
      <c r="EV189" s="86">
        <f t="shared" si="196"/>
        <v>71.77046746399246</v>
      </c>
      <c r="EW189" s="86">
        <f t="shared" si="197"/>
        <v>0.473732458508201</v>
      </c>
      <c r="EX189" s="86">
        <f t="shared" si="198"/>
        <v>0.68536853685368537</v>
      </c>
      <c r="EY189" s="86">
        <f t="shared" si="199"/>
        <v>0.8</v>
      </c>
      <c r="EZ189" s="83">
        <f t="shared" si="200"/>
        <v>0.37898596680656083</v>
      </c>
      <c r="FA189" s="83">
        <f t="shared" si="201"/>
        <v>0.4386358635863587</v>
      </c>
      <c r="FB189" s="83">
        <f t="shared" si="202"/>
        <v>6</v>
      </c>
      <c r="FC189" s="82" t="s">
        <v>460</v>
      </c>
    </row>
    <row r="190" spans="1:159" s="84" customFormat="1" ht="17.100000000000001" customHeight="1">
      <c r="A190" s="78" t="s">
        <v>1788</v>
      </c>
      <c r="B190" s="82" t="s">
        <v>1943</v>
      </c>
      <c r="C190" s="80" t="str">
        <f t="shared" si="150"/>
        <v>Scudieri, C. A., Sieg, C. H., Haase, S. M., Thode, A. E., &amp; Sackett, S. S. 2010.  Understory vegetation response after 30 years of interval prescribed burning in two ponderosa pine sites in northern Arizona, USA. Forest Ecology and Management. 260: 2134-2142.</v>
      </c>
      <c r="D190" s="82" t="s">
        <v>1462</v>
      </c>
      <c r="E190" s="81">
        <v>2010</v>
      </c>
      <c r="F190" s="79" t="s">
        <v>232</v>
      </c>
      <c r="G190" s="79" t="s">
        <v>20</v>
      </c>
      <c r="H190" s="81">
        <v>260</v>
      </c>
      <c r="I190" s="81" t="s">
        <v>233</v>
      </c>
      <c r="J190" s="79"/>
      <c r="K190" s="79" t="s">
        <v>234</v>
      </c>
      <c r="L190" s="82" t="s">
        <v>101</v>
      </c>
      <c r="M190" s="83" t="s">
        <v>73</v>
      </c>
      <c r="N190" s="82" t="s">
        <v>389</v>
      </c>
      <c r="O190" s="82"/>
      <c r="P190" s="81" t="s">
        <v>16</v>
      </c>
      <c r="Q190" s="79" t="s">
        <v>61</v>
      </c>
      <c r="R190" s="79" t="s">
        <v>261</v>
      </c>
      <c r="S190" s="79"/>
      <c r="T190" s="79" t="s">
        <v>262</v>
      </c>
      <c r="U190" s="79" t="s">
        <v>263</v>
      </c>
      <c r="V190" s="81">
        <v>35.299999999999997</v>
      </c>
      <c r="W190" s="81">
        <v>-111.7</v>
      </c>
      <c r="X190" s="81">
        <v>2250</v>
      </c>
      <c r="Y190" s="99" t="s">
        <v>1899</v>
      </c>
      <c r="Z190" s="66" t="s">
        <v>2204</v>
      </c>
      <c r="AA190" s="97" t="s">
        <v>49</v>
      </c>
      <c r="AB190" s="79" t="s">
        <v>64</v>
      </c>
      <c r="AC190" s="79" t="s">
        <v>64</v>
      </c>
      <c r="AD190" s="79" t="s">
        <v>64</v>
      </c>
      <c r="AE190" s="82" t="s">
        <v>236</v>
      </c>
      <c r="AF190" s="82" t="s">
        <v>86</v>
      </c>
      <c r="AG190" s="82" t="s">
        <v>92</v>
      </c>
      <c r="AH190" s="82" t="s">
        <v>106</v>
      </c>
      <c r="AI190" s="82" t="s">
        <v>276</v>
      </c>
      <c r="AJ190" s="86">
        <v>3</v>
      </c>
      <c r="AK190" s="86">
        <v>4</v>
      </c>
      <c r="AL190" s="86">
        <v>4</v>
      </c>
      <c r="AM190" s="84" t="s">
        <v>225</v>
      </c>
      <c r="AN190" s="84" t="s">
        <v>524</v>
      </c>
      <c r="AO190" s="84" t="s">
        <v>524</v>
      </c>
      <c r="AP190" s="68" t="s">
        <v>2228</v>
      </c>
      <c r="AQ190" s="82" t="s">
        <v>88</v>
      </c>
      <c r="AR190" s="86">
        <v>1</v>
      </c>
      <c r="AS190" s="86"/>
      <c r="AT190" s="86"/>
      <c r="AU190" s="90">
        <v>32</v>
      </c>
      <c r="AV190" s="88">
        <v>0.19047619047619047</v>
      </c>
      <c r="AW190" s="82" t="s">
        <v>248</v>
      </c>
      <c r="AX190" s="82" t="s">
        <v>80</v>
      </c>
      <c r="AY190" s="86">
        <v>3</v>
      </c>
      <c r="AZ190" s="86">
        <v>1</v>
      </c>
      <c r="BA190" s="86"/>
      <c r="BB190" s="86"/>
      <c r="BC190" s="82"/>
      <c r="BD190" s="83" t="s">
        <v>124</v>
      </c>
      <c r="BE190" s="82" t="s">
        <v>182</v>
      </c>
      <c r="BF190" s="83" t="s">
        <v>110</v>
      </c>
      <c r="BG190" s="82" t="s">
        <v>21</v>
      </c>
      <c r="BH190" s="82" t="s">
        <v>81</v>
      </c>
      <c r="BI190" s="84" t="s">
        <v>1328</v>
      </c>
      <c r="BJ190" s="89">
        <f>252/12</f>
        <v>21</v>
      </c>
      <c r="BK190" s="84" t="s">
        <v>259</v>
      </c>
      <c r="BL190" s="84" t="s">
        <v>1300</v>
      </c>
      <c r="BM190" s="88">
        <v>9.4583333333333339</v>
      </c>
      <c r="BN190" s="82" t="s">
        <v>379</v>
      </c>
      <c r="BO190" s="82" t="s">
        <v>158</v>
      </c>
      <c r="BP190" s="82" t="s">
        <v>64</v>
      </c>
      <c r="BQ190" s="82"/>
      <c r="BR190" s="82" t="s">
        <v>388</v>
      </c>
      <c r="BS190" s="82" t="s">
        <v>388</v>
      </c>
      <c r="BT190" s="82" t="s">
        <v>418</v>
      </c>
      <c r="BU190" s="86">
        <v>334</v>
      </c>
      <c r="BV190" s="86">
        <v>32</v>
      </c>
      <c r="BW190" s="90">
        <v>55.42562584220407</v>
      </c>
      <c r="BX190" s="86">
        <v>3</v>
      </c>
      <c r="BY190" s="86">
        <v>3</v>
      </c>
      <c r="BZ190" s="82" t="s">
        <v>147</v>
      </c>
      <c r="CA190" s="82" t="s">
        <v>1329</v>
      </c>
      <c r="CB190" s="82" t="s">
        <v>80</v>
      </c>
      <c r="CC190" s="86">
        <v>288</v>
      </c>
      <c r="CD190" s="86">
        <v>35</v>
      </c>
      <c r="CE190" s="90">
        <v>60.621778264910702</v>
      </c>
      <c r="CF190" s="86">
        <v>3</v>
      </c>
      <c r="CG190" s="86">
        <v>3</v>
      </c>
      <c r="CH190" s="82" t="s">
        <v>147</v>
      </c>
      <c r="CI190" s="82" t="s">
        <v>1329</v>
      </c>
      <c r="CJ190" s="82"/>
      <c r="CK190" s="86"/>
      <c r="CL190" s="86"/>
      <c r="CM190" s="86"/>
      <c r="CN190" s="86"/>
      <c r="CO190" s="86"/>
      <c r="CP190" s="82"/>
      <c r="CQ190" s="82"/>
      <c r="CR190" s="82"/>
      <c r="CS190" s="86"/>
      <c r="CT190" s="86"/>
      <c r="CU190" s="86"/>
      <c r="CV190" s="86"/>
      <c r="CW190" s="86"/>
      <c r="CX190" s="82"/>
      <c r="CY190" s="82"/>
      <c r="CZ190" s="82"/>
      <c r="DA190" s="82"/>
      <c r="DB190" s="82"/>
      <c r="DC190" s="82"/>
      <c r="DD190" s="82"/>
      <c r="DE190" s="82"/>
      <c r="DF190" s="82"/>
      <c r="DG190" s="82"/>
      <c r="DH190" s="82"/>
      <c r="DI190" s="82"/>
      <c r="DJ190" s="82"/>
      <c r="DK190" s="82"/>
      <c r="DL190" s="82"/>
      <c r="DM190" s="82"/>
      <c r="DN190" s="82"/>
      <c r="DO190" s="82"/>
      <c r="DP190" s="82"/>
      <c r="DQ190" s="82"/>
      <c r="DR190" s="82"/>
      <c r="DS190" s="82"/>
      <c r="DT190" s="82"/>
      <c r="DU190" s="82"/>
      <c r="DV190" s="82"/>
      <c r="DW190" s="82"/>
      <c r="DX190" s="82"/>
      <c r="DY190" s="86"/>
      <c r="DZ190" s="86"/>
      <c r="EA190" s="86"/>
      <c r="EB190" s="86"/>
      <c r="EC190" s="86"/>
      <c r="ED190" s="82"/>
      <c r="EE190" s="82"/>
      <c r="EF190" s="82"/>
      <c r="EG190" s="86"/>
      <c r="EH190" s="86"/>
      <c r="EI190" s="86"/>
      <c r="EJ190" s="86"/>
      <c r="EK190" s="86"/>
      <c r="EL190" s="82"/>
      <c r="EM190" s="82"/>
      <c r="EN190" s="86">
        <f t="shared" si="188"/>
        <v>334</v>
      </c>
      <c r="EO190" s="90">
        <f t="shared" si="189"/>
        <v>55.42562584220407</v>
      </c>
      <c r="EP190" s="86">
        <f t="shared" si="190"/>
        <v>3</v>
      </c>
      <c r="EQ190" s="86">
        <f t="shared" si="191"/>
        <v>3</v>
      </c>
      <c r="ER190" s="86">
        <f t="shared" si="192"/>
        <v>288</v>
      </c>
      <c r="ES190" s="90">
        <f t="shared" si="193"/>
        <v>60.621778264910702</v>
      </c>
      <c r="ET190" s="86">
        <f t="shared" si="194"/>
        <v>3</v>
      </c>
      <c r="EU190" s="86">
        <f t="shared" si="195"/>
        <v>3</v>
      </c>
      <c r="EV190" s="86">
        <f t="shared" si="196"/>
        <v>58.08183881386676</v>
      </c>
      <c r="EW190" s="86">
        <f t="shared" si="197"/>
        <v>0.79198594499418162</v>
      </c>
      <c r="EX190" s="86">
        <f t="shared" si="198"/>
        <v>0.71893681142236054</v>
      </c>
      <c r="EY190" s="86">
        <f t="shared" si="199"/>
        <v>0.8</v>
      </c>
      <c r="EZ190" s="83">
        <f t="shared" si="200"/>
        <v>0.63358875599534537</v>
      </c>
      <c r="FA190" s="83">
        <f t="shared" si="201"/>
        <v>0.46011955931031084</v>
      </c>
      <c r="FB190" s="83">
        <f t="shared" si="202"/>
        <v>6</v>
      </c>
      <c r="FC190" s="82" t="s">
        <v>460</v>
      </c>
    </row>
    <row r="191" spans="1:159" s="84" customFormat="1" ht="17.100000000000001" customHeight="1">
      <c r="A191" s="78" t="s">
        <v>1789</v>
      </c>
      <c r="B191" s="82" t="s">
        <v>1937</v>
      </c>
      <c r="C191" s="80" t="str">
        <f t="shared" si="150"/>
        <v>Scudieri, C. A., Sieg, C. H., Haase, S. M., Thode, A. E., &amp; Sackett, S. S. 2010.  Understory vegetation response after 30 years of interval prescribed burning in two ponderosa pine sites in northern Arizona, USA. Forest Ecology and Management. 260: 2134-2142.</v>
      </c>
      <c r="D191" s="82" t="s">
        <v>1462</v>
      </c>
      <c r="E191" s="81">
        <v>2010</v>
      </c>
      <c r="F191" s="79" t="s">
        <v>232</v>
      </c>
      <c r="G191" s="79" t="s">
        <v>20</v>
      </c>
      <c r="H191" s="81">
        <v>260</v>
      </c>
      <c r="I191" s="81" t="s">
        <v>233</v>
      </c>
      <c r="J191" s="79"/>
      <c r="K191" s="79" t="s">
        <v>234</v>
      </c>
      <c r="L191" s="82" t="s">
        <v>101</v>
      </c>
      <c r="M191" s="83" t="s">
        <v>73</v>
      </c>
      <c r="N191" s="82" t="s">
        <v>389</v>
      </c>
      <c r="O191" s="82"/>
      <c r="P191" s="81" t="s">
        <v>16</v>
      </c>
      <c r="Q191" s="79" t="s">
        <v>61</v>
      </c>
      <c r="R191" s="79" t="s">
        <v>239</v>
      </c>
      <c r="S191" s="82"/>
      <c r="T191" s="82" t="s">
        <v>265</v>
      </c>
      <c r="U191" s="82" t="s">
        <v>264</v>
      </c>
      <c r="V191" s="84">
        <v>34.6</v>
      </c>
      <c r="W191" s="84">
        <v>-111.1</v>
      </c>
      <c r="X191" s="81">
        <v>2100</v>
      </c>
      <c r="Y191" s="99" t="s">
        <v>1991</v>
      </c>
      <c r="Z191" s="66" t="s">
        <v>2201</v>
      </c>
      <c r="AA191" s="97" t="s">
        <v>49</v>
      </c>
      <c r="AB191" s="79" t="s">
        <v>64</v>
      </c>
      <c r="AC191" s="79" t="s">
        <v>64</v>
      </c>
      <c r="AD191" s="79" t="s">
        <v>64</v>
      </c>
      <c r="AE191" s="82" t="s">
        <v>236</v>
      </c>
      <c r="AF191" s="82" t="s">
        <v>86</v>
      </c>
      <c r="AG191" s="82" t="s">
        <v>92</v>
      </c>
      <c r="AH191" s="82" t="s">
        <v>106</v>
      </c>
      <c r="AI191" s="82" t="s">
        <v>276</v>
      </c>
      <c r="AJ191" s="86">
        <v>3</v>
      </c>
      <c r="AK191" s="86" t="s">
        <v>241</v>
      </c>
      <c r="AL191" s="86">
        <v>30.5</v>
      </c>
      <c r="AM191" s="84" t="s">
        <v>225</v>
      </c>
      <c r="AN191" s="84" t="s">
        <v>524</v>
      </c>
      <c r="AO191" s="84" t="s">
        <v>524</v>
      </c>
      <c r="AP191" s="68" t="s">
        <v>2228</v>
      </c>
      <c r="AQ191" s="82" t="s">
        <v>88</v>
      </c>
      <c r="AR191" s="115">
        <v>1</v>
      </c>
      <c r="AS191" s="86"/>
      <c r="AT191" s="86"/>
      <c r="AU191" s="90">
        <v>32</v>
      </c>
      <c r="AV191" s="88">
        <v>1.0166666666666666</v>
      </c>
      <c r="AW191" s="82" t="s">
        <v>243</v>
      </c>
      <c r="AX191" s="82" t="s">
        <v>80</v>
      </c>
      <c r="AY191" s="115">
        <v>3</v>
      </c>
      <c r="AZ191" s="115">
        <v>1</v>
      </c>
      <c r="BA191" s="86"/>
      <c r="BB191" s="86"/>
      <c r="BC191" s="82"/>
      <c r="BD191" s="83" t="s">
        <v>124</v>
      </c>
      <c r="BE191" s="82" t="s">
        <v>182</v>
      </c>
      <c r="BF191" s="137" t="s">
        <v>110</v>
      </c>
      <c r="BG191" s="142" t="s">
        <v>21</v>
      </c>
      <c r="BH191" s="82" t="s">
        <v>81</v>
      </c>
      <c r="BI191" s="84" t="s">
        <v>1328</v>
      </c>
      <c r="BJ191" s="89">
        <f>360/12</f>
        <v>30</v>
      </c>
      <c r="BK191" s="84" t="s">
        <v>249</v>
      </c>
      <c r="BL191" s="111" t="s">
        <v>1305</v>
      </c>
      <c r="BM191" s="88">
        <v>0.625</v>
      </c>
      <c r="BN191" s="82" t="s">
        <v>379</v>
      </c>
      <c r="BO191" s="190" t="s">
        <v>158</v>
      </c>
      <c r="BP191" s="142" t="s">
        <v>64</v>
      </c>
      <c r="BQ191" s="116"/>
      <c r="BR191" s="138" t="s">
        <v>388</v>
      </c>
      <c r="BS191" s="138" t="s">
        <v>388</v>
      </c>
      <c r="BT191" s="82" t="s">
        <v>419</v>
      </c>
      <c r="BU191" s="86">
        <v>354</v>
      </c>
      <c r="BV191" s="86">
        <v>39</v>
      </c>
      <c r="BW191" s="191">
        <v>67.549981495186216</v>
      </c>
      <c r="BX191" s="86">
        <v>3</v>
      </c>
      <c r="BY191" s="86">
        <v>3</v>
      </c>
      <c r="BZ191" s="82" t="s">
        <v>147</v>
      </c>
      <c r="CA191" s="82" t="s">
        <v>1329</v>
      </c>
      <c r="CB191" s="82" t="s">
        <v>80</v>
      </c>
      <c r="CC191" s="86">
        <v>422</v>
      </c>
      <c r="CD191" s="86">
        <v>34</v>
      </c>
      <c r="CE191" s="90">
        <v>58.889727457341827</v>
      </c>
      <c r="CF191" s="86">
        <v>3</v>
      </c>
      <c r="CG191" s="86">
        <v>3</v>
      </c>
      <c r="CH191" s="82" t="s">
        <v>147</v>
      </c>
      <c r="CI191" s="82" t="s">
        <v>1329</v>
      </c>
      <c r="CJ191" s="82"/>
      <c r="CK191" s="86"/>
      <c r="CL191" s="86"/>
      <c r="CM191" s="86"/>
      <c r="CN191" s="86"/>
      <c r="CO191" s="86"/>
      <c r="CP191" s="82"/>
      <c r="CQ191" s="82"/>
      <c r="CR191" s="82"/>
      <c r="CS191" s="86"/>
      <c r="CT191" s="86"/>
      <c r="CU191" s="86"/>
      <c r="CV191" s="86"/>
      <c r="CW191" s="86"/>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6"/>
      <c r="DZ191" s="86"/>
      <c r="EA191" s="86"/>
      <c r="EB191" s="86"/>
      <c r="EC191" s="86"/>
      <c r="ED191" s="82"/>
      <c r="EE191" s="82"/>
      <c r="EF191" s="82"/>
      <c r="EG191" s="86"/>
      <c r="EH191" s="86"/>
      <c r="EI191" s="86"/>
      <c r="EJ191" s="86"/>
      <c r="EK191" s="86"/>
      <c r="EL191" s="82"/>
      <c r="EM191" s="82"/>
      <c r="EN191" s="86">
        <f t="shared" si="188"/>
        <v>354</v>
      </c>
      <c r="EO191" s="90">
        <f t="shared" si="189"/>
        <v>67.549981495186216</v>
      </c>
      <c r="EP191" s="86">
        <f t="shared" si="190"/>
        <v>3</v>
      </c>
      <c r="EQ191" s="86">
        <f t="shared" si="191"/>
        <v>3</v>
      </c>
      <c r="ER191" s="86">
        <f t="shared" si="192"/>
        <v>422</v>
      </c>
      <c r="ES191" s="90">
        <f t="shared" si="193"/>
        <v>58.889727457341827</v>
      </c>
      <c r="ET191" s="86">
        <f t="shared" si="194"/>
        <v>3</v>
      </c>
      <c r="EU191" s="86">
        <f t="shared" si="195"/>
        <v>3</v>
      </c>
      <c r="EV191" s="86">
        <f t="shared" si="196"/>
        <v>63.36797298320343</v>
      </c>
      <c r="EW191" s="86">
        <f t="shared" si="197"/>
        <v>-1.0730972887206658</v>
      </c>
      <c r="EX191" s="86">
        <f t="shared" si="198"/>
        <v>0.76262814925497024</v>
      </c>
      <c r="EY191" s="86">
        <f t="shared" si="199"/>
        <v>0.8</v>
      </c>
      <c r="EZ191" s="83">
        <f t="shared" si="200"/>
        <v>-0.85847783097653263</v>
      </c>
      <c r="FA191" s="83">
        <f t="shared" si="201"/>
        <v>0.48808201552318103</v>
      </c>
      <c r="FB191" s="83">
        <f t="shared" si="202"/>
        <v>6</v>
      </c>
      <c r="FC191" s="79" t="s">
        <v>125</v>
      </c>
    </row>
    <row r="192" spans="1:159" s="84" customFormat="1" ht="17.100000000000001" customHeight="1">
      <c r="A192" s="78" t="s">
        <v>1789</v>
      </c>
      <c r="B192" s="82" t="s">
        <v>1936</v>
      </c>
      <c r="C192" s="80" t="str">
        <f t="shared" si="150"/>
        <v>Scudieri, C. A., Sieg, C. H., Haase, S. M., Thode, A. E., &amp; Sackett, S. S. 2010.  Understory vegetation response after 30 years of interval prescribed burning in two ponderosa pine sites in northern Arizona, USA. Forest Ecology and Management. 260: 2134-2142.</v>
      </c>
      <c r="D192" s="82" t="s">
        <v>1462</v>
      </c>
      <c r="E192" s="81">
        <v>2010</v>
      </c>
      <c r="F192" s="79" t="s">
        <v>232</v>
      </c>
      <c r="G192" s="79" t="s">
        <v>20</v>
      </c>
      <c r="H192" s="81">
        <v>260</v>
      </c>
      <c r="I192" s="81" t="s">
        <v>233</v>
      </c>
      <c r="J192" s="79"/>
      <c r="K192" s="79" t="s">
        <v>234</v>
      </c>
      <c r="L192" s="82" t="s">
        <v>101</v>
      </c>
      <c r="M192" s="83" t="s">
        <v>73</v>
      </c>
      <c r="N192" s="82" t="s">
        <v>389</v>
      </c>
      <c r="O192" s="82"/>
      <c r="P192" s="81" t="s">
        <v>16</v>
      </c>
      <c r="Q192" s="79" t="s">
        <v>61</v>
      </c>
      <c r="R192" s="79" t="s">
        <v>239</v>
      </c>
      <c r="S192" s="82"/>
      <c r="T192" s="82" t="s">
        <v>265</v>
      </c>
      <c r="U192" s="82" t="s">
        <v>264</v>
      </c>
      <c r="V192" s="84">
        <v>34.6</v>
      </c>
      <c r="W192" s="84">
        <v>-111.1</v>
      </c>
      <c r="X192" s="81">
        <v>2100</v>
      </c>
      <c r="Y192" s="99" t="s">
        <v>1991</v>
      </c>
      <c r="Z192" s="66" t="s">
        <v>2201</v>
      </c>
      <c r="AA192" s="97" t="s">
        <v>49</v>
      </c>
      <c r="AB192" s="79" t="s">
        <v>64</v>
      </c>
      <c r="AC192" s="79" t="s">
        <v>64</v>
      </c>
      <c r="AD192" s="79" t="s">
        <v>64</v>
      </c>
      <c r="AE192" s="82" t="s">
        <v>236</v>
      </c>
      <c r="AF192" s="82" t="s">
        <v>86</v>
      </c>
      <c r="AG192" s="82" t="s">
        <v>92</v>
      </c>
      <c r="AH192" s="82" t="s">
        <v>106</v>
      </c>
      <c r="AI192" s="82" t="s">
        <v>276</v>
      </c>
      <c r="AJ192" s="86">
        <v>3</v>
      </c>
      <c r="AK192" s="86" t="s">
        <v>242</v>
      </c>
      <c r="AL192" s="86">
        <v>15.5</v>
      </c>
      <c r="AM192" s="84" t="s">
        <v>225</v>
      </c>
      <c r="AN192" s="84" t="s">
        <v>524</v>
      </c>
      <c r="AO192" s="84" t="s">
        <v>524</v>
      </c>
      <c r="AP192" s="68" t="s">
        <v>2228</v>
      </c>
      <c r="AQ192" s="82" t="s">
        <v>88</v>
      </c>
      <c r="AR192" s="115">
        <v>1</v>
      </c>
      <c r="AS192" s="86"/>
      <c r="AT192" s="86"/>
      <c r="AU192" s="90">
        <v>32</v>
      </c>
      <c r="AV192" s="88">
        <v>0.5535714285714286</v>
      </c>
      <c r="AW192" s="82" t="s">
        <v>244</v>
      </c>
      <c r="AX192" s="82" t="s">
        <v>80</v>
      </c>
      <c r="AY192" s="115">
        <v>3</v>
      </c>
      <c r="AZ192" s="115">
        <v>1</v>
      </c>
      <c r="BA192" s="86"/>
      <c r="BB192" s="86"/>
      <c r="BC192" s="82"/>
      <c r="BD192" s="83" t="s">
        <v>124</v>
      </c>
      <c r="BE192" s="82" t="s">
        <v>182</v>
      </c>
      <c r="BF192" s="137" t="s">
        <v>110</v>
      </c>
      <c r="BG192" s="142" t="s">
        <v>21</v>
      </c>
      <c r="BH192" s="82" t="s">
        <v>81</v>
      </c>
      <c r="BI192" s="84" t="s">
        <v>1328</v>
      </c>
      <c r="BJ192" s="89">
        <f>336/12</f>
        <v>28</v>
      </c>
      <c r="BK192" s="84" t="s">
        <v>250</v>
      </c>
      <c r="BL192" s="84" t="s">
        <v>1304</v>
      </c>
      <c r="BM192" s="88">
        <v>1.625</v>
      </c>
      <c r="BN192" s="82" t="s">
        <v>379</v>
      </c>
      <c r="BO192" s="190" t="s">
        <v>158</v>
      </c>
      <c r="BP192" s="142" t="s">
        <v>64</v>
      </c>
      <c r="BQ192" s="175"/>
      <c r="BR192" s="138" t="s">
        <v>388</v>
      </c>
      <c r="BS192" s="138" t="s">
        <v>388</v>
      </c>
      <c r="BT192" s="82" t="s">
        <v>420</v>
      </c>
      <c r="BU192" s="86">
        <v>332</v>
      </c>
      <c r="BV192" s="86">
        <v>34</v>
      </c>
      <c r="BW192" s="191">
        <v>58.889727457341827</v>
      </c>
      <c r="BX192" s="86">
        <v>3</v>
      </c>
      <c r="BY192" s="86">
        <v>3</v>
      </c>
      <c r="BZ192" s="82" t="s">
        <v>147</v>
      </c>
      <c r="CA192" s="82" t="s">
        <v>1329</v>
      </c>
      <c r="CB192" s="82" t="s">
        <v>80</v>
      </c>
      <c r="CC192" s="86">
        <v>422</v>
      </c>
      <c r="CD192" s="86">
        <v>34</v>
      </c>
      <c r="CE192" s="90">
        <v>58.889727457341827</v>
      </c>
      <c r="CF192" s="86">
        <v>3</v>
      </c>
      <c r="CG192" s="86">
        <v>3</v>
      </c>
      <c r="CH192" s="82" t="s">
        <v>147</v>
      </c>
      <c r="CI192" s="82" t="s">
        <v>1329</v>
      </c>
      <c r="CJ192" s="82"/>
      <c r="CK192" s="86"/>
      <c r="CL192" s="86"/>
      <c r="CM192" s="86"/>
      <c r="CN192" s="86"/>
      <c r="CO192" s="86"/>
      <c r="CP192" s="82"/>
      <c r="CQ192" s="82"/>
      <c r="CR192" s="82"/>
      <c r="CS192" s="86"/>
      <c r="CT192" s="86"/>
      <c r="CU192" s="86"/>
      <c r="CV192" s="86"/>
      <c r="CW192" s="86"/>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6"/>
      <c r="DZ192" s="86"/>
      <c r="EA192" s="86"/>
      <c r="EB192" s="86"/>
      <c r="EC192" s="86"/>
      <c r="ED192" s="82"/>
      <c r="EE192" s="82"/>
      <c r="EF192" s="82"/>
      <c r="EG192" s="86"/>
      <c r="EH192" s="86"/>
      <c r="EI192" s="86"/>
      <c r="EJ192" s="86"/>
      <c r="EK192" s="86"/>
      <c r="EL192" s="82"/>
      <c r="EM192" s="82"/>
      <c r="EN192" s="86">
        <f t="shared" si="188"/>
        <v>332</v>
      </c>
      <c r="EO192" s="90">
        <f t="shared" si="189"/>
        <v>58.889727457341827</v>
      </c>
      <c r="EP192" s="86">
        <f t="shared" si="190"/>
        <v>3</v>
      </c>
      <c r="EQ192" s="86">
        <f t="shared" si="191"/>
        <v>3</v>
      </c>
      <c r="ER192" s="86">
        <f t="shared" si="192"/>
        <v>422</v>
      </c>
      <c r="ES192" s="90">
        <f t="shared" si="193"/>
        <v>58.889727457341827</v>
      </c>
      <c r="ET192" s="86">
        <f t="shared" si="194"/>
        <v>3</v>
      </c>
      <c r="EU192" s="86">
        <f t="shared" si="195"/>
        <v>3</v>
      </c>
      <c r="EV192" s="86">
        <f t="shared" si="196"/>
        <v>58.889727457341827</v>
      </c>
      <c r="EW192" s="86">
        <f t="shared" si="197"/>
        <v>-1.52828012432548</v>
      </c>
      <c r="EX192" s="86">
        <f t="shared" si="198"/>
        <v>0.86130334486735871</v>
      </c>
      <c r="EY192" s="86">
        <f t="shared" si="199"/>
        <v>0.8</v>
      </c>
      <c r="EZ192" s="83">
        <f t="shared" si="200"/>
        <v>-1.2226240994603841</v>
      </c>
      <c r="FA192" s="83">
        <f t="shared" si="201"/>
        <v>0.55123414071510968</v>
      </c>
      <c r="FB192" s="83">
        <f t="shared" si="202"/>
        <v>6</v>
      </c>
      <c r="FC192" s="79" t="s">
        <v>125</v>
      </c>
    </row>
    <row r="193" spans="1:160" s="84" customFormat="1" ht="17.100000000000001" customHeight="1">
      <c r="A193" s="78" t="s">
        <v>1789</v>
      </c>
      <c r="B193" s="82" t="s">
        <v>1935</v>
      </c>
      <c r="C193" s="80" t="str">
        <f t="shared" si="150"/>
        <v>Scudieri, C. A., Sieg, C. H., Haase, S. M., Thode, A. E., &amp; Sackett, S. S. 2010.  Understory vegetation response after 30 years of interval prescribed burning in two ponderosa pine sites in northern Arizona, USA. Forest Ecology and Management. 260: 2134-2142.</v>
      </c>
      <c r="D193" s="82" t="s">
        <v>1462</v>
      </c>
      <c r="E193" s="81">
        <v>2010</v>
      </c>
      <c r="F193" s="79" t="s">
        <v>232</v>
      </c>
      <c r="G193" s="79" t="s">
        <v>20</v>
      </c>
      <c r="H193" s="81">
        <v>260</v>
      </c>
      <c r="I193" s="81" t="s">
        <v>233</v>
      </c>
      <c r="J193" s="79"/>
      <c r="K193" s="79" t="s">
        <v>234</v>
      </c>
      <c r="L193" s="82" t="s">
        <v>101</v>
      </c>
      <c r="M193" s="83" t="s">
        <v>73</v>
      </c>
      <c r="N193" s="82" t="s">
        <v>389</v>
      </c>
      <c r="O193" s="82"/>
      <c r="P193" s="81" t="s">
        <v>16</v>
      </c>
      <c r="Q193" s="79" t="s">
        <v>61</v>
      </c>
      <c r="R193" s="79" t="s">
        <v>239</v>
      </c>
      <c r="S193" s="82"/>
      <c r="T193" s="82" t="s">
        <v>265</v>
      </c>
      <c r="U193" s="82" t="s">
        <v>264</v>
      </c>
      <c r="V193" s="84">
        <v>34.6</v>
      </c>
      <c r="W193" s="84">
        <v>-111.1</v>
      </c>
      <c r="X193" s="81">
        <v>2100</v>
      </c>
      <c r="Y193" s="99" t="s">
        <v>1991</v>
      </c>
      <c r="Z193" s="66" t="s">
        <v>2201</v>
      </c>
      <c r="AA193" s="97" t="s">
        <v>49</v>
      </c>
      <c r="AB193" s="79" t="s">
        <v>64</v>
      </c>
      <c r="AC193" s="79" t="s">
        <v>64</v>
      </c>
      <c r="AD193" s="79" t="s">
        <v>64</v>
      </c>
      <c r="AE193" s="82" t="s">
        <v>236</v>
      </c>
      <c r="AF193" s="82" t="s">
        <v>86</v>
      </c>
      <c r="AG193" s="82" t="s">
        <v>92</v>
      </c>
      <c r="AH193" s="82" t="s">
        <v>106</v>
      </c>
      <c r="AI193" s="82" t="s">
        <v>276</v>
      </c>
      <c r="AJ193" s="86">
        <v>3</v>
      </c>
      <c r="AK193" s="86">
        <v>8</v>
      </c>
      <c r="AL193" s="86">
        <v>8</v>
      </c>
      <c r="AM193" s="84" t="s">
        <v>225</v>
      </c>
      <c r="AN193" s="84" t="s">
        <v>524</v>
      </c>
      <c r="AO193" s="84" t="s">
        <v>524</v>
      </c>
      <c r="AP193" s="68" t="s">
        <v>2228</v>
      </c>
      <c r="AQ193" s="82" t="s">
        <v>88</v>
      </c>
      <c r="AR193" s="115">
        <v>1</v>
      </c>
      <c r="AS193" s="86"/>
      <c r="AT193" s="86"/>
      <c r="AU193" s="90">
        <v>32</v>
      </c>
      <c r="AV193" s="88">
        <v>0.30769230769230771</v>
      </c>
      <c r="AW193" s="82" t="s">
        <v>245</v>
      </c>
      <c r="AX193" s="82" t="s">
        <v>80</v>
      </c>
      <c r="AY193" s="115">
        <v>3</v>
      </c>
      <c r="AZ193" s="115">
        <v>1</v>
      </c>
      <c r="BA193" s="86"/>
      <c r="BB193" s="86"/>
      <c r="BC193" s="82"/>
      <c r="BD193" s="83" t="s">
        <v>124</v>
      </c>
      <c r="BE193" s="82" t="s">
        <v>182</v>
      </c>
      <c r="BF193" s="137" t="s">
        <v>110</v>
      </c>
      <c r="BG193" s="142" t="s">
        <v>21</v>
      </c>
      <c r="BH193" s="82" t="s">
        <v>81</v>
      </c>
      <c r="BI193" s="84" t="s">
        <v>1328</v>
      </c>
      <c r="BJ193" s="89">
        <f>312/12</f>
        <v>26</v>
      </c>
      <c r="BK193" s="84" t="s">
        <v>251</v>
      </c>
      <c r="BL193" s="84" t="s">
        <v>1303</v>
      </c>
      <c r="BM193" s="88">
        <v>3.375</v>
      </c>
      <c r="BN193" s="82" t="s">
        <v>379</v>
      </c>
      <c r="BO193" s="190" t="s">
        <v>158</v>
      </c>
      <c r="BP193" s="142" t="s">
        <v>64</v>
      </c>
      <c r="BQ193" s="82"/>
      <c r="BR193" s="138" t="s">
        <v>388</v>
      </c>
      <c r="BS193" s="138" t="s">
        <v>388</v>
      </c>
      <c r="BT193" s="82" t="s">
        <v>416</v>
      </c>
      <c r="BU193" s="86">
        <v>393</v>
      </c>
      <c r="BV193" s="86">
        <v>19</v>
      </c>
      <c r="BW193" s="191">
        <v>32.908965343808667</v>
      </c>
      <c r="BX193" s="86">
        <v>3</v>
      </c>
      <c r="BY193" s="86">
        <v>3</v>
      </c>
      <c r="BZ193" s="82" t="s">
        <v>147</v>
      </c>
      <c r="CA193" s="82" t="s">
        <v>1329</v>
      </c>
      <c r="CB193" s="82" t="s">
        <v>80</v>
      </c>
      <c r="CC193" s="86">
        <v>422</v>
      </c>
      <c r="CD193" s="86">
        <v>34</v>
      </c>
      <c r="CE193" s="90">
        <v>58.889727457341827</v>
      </c>
      <c r="CF193" s="86">
        <v>3</v>
      </c>
      <c r="CG193" s="86">
        <v>3</v>
      </c>
      <c r="CH193" s="82" t="s">
        <v>147</v>
      </c>
      <c r="CI193" s="82" t="s">
        <v>1329</v>
      </c>
      <c r="CJ193" s="82"/>
      <c r="CK193" s="86"/>
      <c r="CL193" s="86"/>
      <c r="CM193" s="86"/>
      <c r="CN193" s="86"/>
      <c r="CO193" s="86"/>
      <c r="CP193" s="82"/>
      <c r="CQ193" s="82"/>
      <c r="CR193" s="82"/>
      <c r="CS193" s="86"/>
      <c r="CT193" s="86"/>
      <c r="CU193" s="86"/>
      <c r="CV193" s="86"/>
      <c r="CW193" s="86"/>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6"/>
      <c r="DZ193" s="86"/>
      <c r="EA193" s="86"/>
      <c r="EB193" s="86"/>
      <c r="EC193" s="86"/>
      <c r="ED193" s="82"/>
      <c r="EE193" s="82"/>
      <c r="EF193" s="82"/>
      <c r="EG193" s="86"/>
      <c r="EH193" s="86"/>
      <c r="EI193" s="86"/>
      <c r="EJ193" s="86"/>
      <c r="EK193" s="86"/>
      <c r="EL193" s="82"/>
      <c r="EM193" s="82"/>
      <c r="EN193" s="86">
        <f t="shared" si="188"/>
        <v>393</v>
      </c>
      <c r="EO193" s="90">
        <f t="shared" si="189"/>
        <v>32.908965343808667</v>
      </c>
      <c r="EP193" s="86">
        <f t="shared" si="190"/>
        <v>3</v>
      </c>
      <c r="EQ193" s="86">
        <f t="shared" si="191"/>
        <v>3</v>
      </c>
      <c r="ER193" s="86">
        <f t="shared" si="192"/>
        <v>422</v>
      </c>
      <c r="ES193" s="90">
        <f t="shared" si="193"/>
        <v>58.889727457341827</v>
      </c>
      <c r="ET193" s="86">
        <f t="shared" si="194"/>
        <v>3</v>
      </c>
      <c r="EU193" s="86">
        <f t="shared" si="195"/>
        <v>3</v>
      </c>
      <c r="EV193" s="86">
        <f t="shared" si="196"/>
        <v>47.702201207072193</v>
      </c>
      <c r="EW193" s="86">
        <f t="shared" si="197"/>
        <v>-0.60793840255112885</v>
      </c>
      <c r="EX193" s="86">
        <f t="shared" si="198"/>
        <v>0.69746575844136816</v>
      </c>
      <c r="EY193" s="86">
        <f t="shared" si="199"/>
        <v>0.8</v>
      </c>
      <c r="EZ193" s="83">
        <f t="shared" si="200"/>
        <v>-0.48635072204090313</v>
      </c>
      <c r="FA193" s="83">
        <f t="shared" si="201"/>
        <v>0.4463780854024757</v>
      </c>
      <c r="FB193" s="83">
        <f t="shared" si="202"/>
        <v>6</v>
      </c>
      <c r="FC193" s="79" t="s">
        <v>125</v>
      </c>
    </row>
    <row r="194" spans="1:160" s="84" customFormat="1" ht="17.100000000000001" customHeight="1">
      <c r="A194" s="78" t="s">
        <v>1789</v>
      </c>
      <c r="B194" s="82" t="s">
        <v>1934</v>
      </c>
      <c r="C194" s="80" t="str">
        <f t="shared" si="150"/>
        <v>Scudieri, C. A., Sieg, C. H., Haase, S. M., Thode, A. E., &amp; Sackett, S. S. 2010.  Understory vegetation response after 30 years of interval prescribed burning in two ponderosa pine sites in northern Arizona, USA. Forest Ecology and Management. 260: 2134-2142.</v>
      </c>
      <c r="D194" s="82" t="s">
        <v>1462</v>
      </c>
      <c r="E194" s="81">
        <v>2010</v>
      </c>
      <c r="F194" s="79" t="s">
        <v>232</v>
      </c>
      <c r="G194" s="79" t="s">
        <v>20</v>
      </c>
      <c r="H194" s="81">
        <v>260</v>
      </c>
      <c r="I194" s="81" t="s">
        <v>233</v>
      </c>
      <c r="J194" s="79"/>
      <c r="K194" s="79" t="s">
        <v>234</v>
      </c>
      <c r="L194" s="82" t="s">
        <v>101</v>
      </c>
      <c r="M194" s="83" t="s">
        <v>73</v>
      </c>
      <c r="N194" s="82" t="s">
        <v>389</v>
      </c>
      <c r="O194" s="82"/>
      <c r="P194" s="81" t="s">
        <v>16</v>
      </c>
      <c r="Q194" s="79" t="s">
        <v>61</v>
      </c>
      <c r="R194" s="79" t="s">
        <v>239</v>
      </c>
      <c r="S194" s="82"/>
      <c r="T194" s="82" t="s">
        <v>265</v>
      </c>
      <c r="U194" s="82" t="s">
        <v>264</v>
      </c>
      <c r="V194" s="84">
        <v>34.6</v>
      </c>
      <c r="W194" s="84">
        <v>-111.1</v>
      </c>
      <c r="X194" s="81">
        <v>2100</v>
      </c>
      <c r="Y194" s="99" t="s">
        <v>1991</v>
      </c>
      <c r="Z194" s="66" t="s">
        <v>2201</v>
      </c>
      <c r="AA194" s="97" t="s">
        <v>49</v>
      </c>
      <c r="AB194" s="79" t="s">
        <v>64</v>
      </c>
      <c r="AC194" s="79" t="s">
        <v>64</v>
      </c>
      <c r="AD194" s="79" t="s">
        <v>64</v>
      </c>
      <c r="AE194" s="82" t="s">
        <v>236</v>
      </c>
      <c r="AF194" s="82" t="s">
        <v>86</v>
      </c>
      <c r="AG194" s="82" t="s">
        <v>92</v>
      </c>
      <c r="AH194" s="82" t="s">
        <v>106</v>
      </c>
      <c r="AI194" s="82" t="s">
        <v>276</v>
      </c>
      <c r="AJ194" s="86">
        <v>3</v>
      </c>
      <c r="AK194" s="86" t="s">
        <v>273</v>
      </c>
      <c r="AL194" s="86">
        <v>5.5</v>
      </c>
      <c r="AM194" s="84" t="s">
        <v>225</v>
      </c>
      <c r="AN194" s="84" t="s">
        <v>524</v>
      </c>
      <c r="AO194" s="84" t="s">
        <v>524</v>
      </c>
      <c r="AP194" s="68" t="s">
        <v>2228</v>
      </c>
      <c r="AQ194" s="82" t="s">
        <v>88</v>
      </c>
      <c r="AR194" s="115">
        <v>1</v>
      </c>
      <c r="AS194" s="86"/>
      <c r="AT194" s="86"/>
      <c r="AU194" s="90">
        <v>32</v>
      </c>
      <c r="AV194" s="88">
        <v>0.22916666666666666</v>
      </c>
      <c r="AW194" s="82" t="s">
        <v>246</v>
      </c>
      <c r="AX194" s="82" t="s">
        <v>80</v>
      </c>
      <c r="AY194" s="115">
        <v>3</v>
      </c>
      <c r="AZ194" s="115">
        <v>1</v>
      </c>
      <c r="BA194" s="86"/>
      <c r="BB194" s="86"/>
      <c r="BC194" s="82"/>
      <c r="BD194" s="83" t="s">
        <v>124</v>
      </c>
      <c r="BE194" s="82" t="s">
        <v>182</v>
      </c>
      <c r="BF194" s="137" t="s">
        <v>110</v>
      </c>
      <c r="BG194" s="142" t="s">
        <v>21</v>
      </c>
      <c r="BH194" s="82" t="s">
        <v>81</v>
      </c>
      <c r="BI194" s="84" t="s">
        <v>1328</v>
      </c>
      <c r="BJ194" s="89">
        <f>288/12</f>
        <v>24</v>
      </c>
      <c r="BK194" s="84" t="s">
        <v>252</v>
      </c>
      <c r="BL194" s="84" t="s">
        <v>1302</v>
      </c>
      <c r="BM194" s="88">
        <v>5.625</v>
      </c>
      <c r="BN194" s="82" t="s">
        <v>379</v>
      </c>
      <c r="BO194" s="190" t="s">
        <v>158</v>
      </c>
      <c r="BP194" s="142" t="s">
        <v>64</v>
      </c>
      <c r="BQ194" s="82"/>
      <c r="BR194" s="138" t="s">
        <v>388</v>
      </c>
      <c r="BS194" s="138" t="s">
        <v>388</v>
      </c>
      <c r="BT194" s="82" t="s">
        <v>421</v>
      </c>
      <c r="BU194" s="86">
        <v>429</v>
      </c>
      <c r="BV194" s="86">
        <v>12</v>
      </c>
      <c r="BW194" s="191">
        <v>20.784609690826528</v>
      </c>
      <c r="BX194" s="86">
        <v>3</v>
      </c>
      <c r="BY194" s="86">
        <v>3</v>
      </c>
      <c r="BZ194" s="82" t="s">
        <v>147</v>
      </c>
      <c r="CA194" s="82" t="s">
        <v>1329</v>
      </c>
      <c r="CB194" s="82" t="s">
        <v>80</v>
      </c>
      <c r="CC194" s="86">
        <v>422</v>
      </c>
      <c r="CD194" s="86">
        <v>34</v>
      </c>
      <c r="CE194" s="90">
        <v>58.889727457341827</v>
      </c>
      <c r="CF194" s="86">
        <v>3</v>
      </c>
      <c r="CG194" s="86">
        <v>3</v>
      </c>
      <c r="CH194" s="82" t="s">
        <v>147</v>
      </c>
      <c r="CI194" s="82" t="s">
        <v>1329</v>
      </c>
      <c r="CJ194" s="82"/>
      <c r="CK194" s="86"/>
      <c r="CL194" s="86"/>
      <c r="CM194" s="86"/>
      <c r="CN194" s="86"/>
      <c r="CO194" s="86"/>
      <c r="CP194" s="82"/>
      <c r="CQ194" s="82"/>
      <c r="CR194" s="82"/>
      <c r="CS194" s="86"/>
      <c r="CT194" s="86"/>
      <c r="CU194" s="86"/>
      <c r="CV194" s="86"/>
      <c r="CW194" s="86"/>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6"/>
      <c r="DZ194" s="86"/>
      <c r="EA194" s="86"/>
      <c r="EB194" s="86"/>
      <c r="EC194" s="86"/>
      <c r="ED194" s="82"/>
      <c r="EE194" s="82"/>
      <c r="EF194" s="82"/>
      <c r="EG194" s="86"/>
      <c r="EH194" s="86"/>
      <c r="EI194" s="86"/>
      <c r="EJ194" s="86"/>
      <c r="EK194" s="86"/>
      <c r="EL194" s="82"/>
      <c r="EM194" s="82"/>
      <c r="EN194" s="86">
        <f t="shared" si="188"/>
        <v>429</v>
      </c>
      <c r="EO194" s="90">
        <f t="shared" si="189"/>
        <v>20.784609690826528</v>
      </c>
      <c r="EP194" s="86">
        <f t="shared" si="190"/>
        <v>3</v>
      </c>
      <c r="EQ194" s="86">
        <f t="shared" si="191"/>
        <v>3</v>
      </c>
      <c r="ER194" s="86">
        <f t="shared" si="192"/>
        <v>422</v>
      </c>
      <c r="ES194" s="90">
        <f t="shared" si="193"/>
        <v>58.889727457341827</v>
      </c>
      <c r="ET194" s="86">
        <f t="shared" si="194"/>
        <v>3</v>
      </c>
      <c r="EU194" s="86">
        <f t="shared" si="195"/>
        <v>3</v>
      </c>
      <c r="EV194" s="86">
        <f t="shared" si="196"/>
        <v>44.158804331639232</v>
      </c>
      <c r="EW194" s="86">
        <f t="shared" si="197"/>
        <v>0.15851878478024342</v>
      </c>
      <c r="EX194" s="86">
        <f t="shared" si="198"/>
        <v>0.66876068376068376</v>
      </c>
      <c r="EY194" s="86">
        <f t="shared" si="199"/>
        <v>0.8</v>
      </c>
      <c r="EZ194" s="83">
        <f t="shared" si="200"/>
        <v>0.12681502782419474</v>
      </c>
      <c r="FA194" s="83">
        <f t="shared" si="201"/>
        <v>0.42800683760683766</v>
      </c>
      <c r="FB194" s="83">
        <f t="shared" si="202"/>
        <v>6</v>
      </c>
      <c r="FC194" s="79" t="s">
        <v>125</v>
      </c>
    </row>
    <row r="195" spans="1:160" s="84" customFormat="1" ht="17.100000000000001" customHeight="1">
      <c r="A195" s="78" t="s">
        <v>1789</v>
      </c>
      <c r="B195" s="82" t="s">
        <v>1933</v>
      </c>
      <c r="C195" s="80" t="str">
        <f t="shared" si="150"/>
        <v>Scudieri, C. A., Sieg, C. H., Haase, S. M., Thode, A. E., &amp; Sackett, S. S. 2010.  Understory vegetation response after 30 years of interval prescribed burning in two ponderosa pine sites in northern Arizona, USA. Forest Ecology and Management. 260: 2134-2142.</v>
      </c>
      <c r="D195" s="82" t="s">
        <v>1462</v>
      </c>
      <c r="E195" s="81">
        <v>2010</v>
      </c>
      <c r="F195" s="79" t="s">
        <v>232</v>
      </c>
      <c r="G195" s="79" t="s">
        <v>20</v>
      </c>
      <c r="H195" s="81">
        <v>260</v>
      </c>
      <c r="I195" s="81" t="s">
        <v>233</v>
      </c>
      <c r="J195" s="79"/>
      <c r="K195" s="79" t="s">
        <v>234</v>
      </c>
      <c r="L195" s="82" t="s">
        <v>101</v>
      </c>
      <c r="M195" s="83" t="s">
        <v>73</v>
      </c>
      <c r="N195" s="82" t="s">
        <v>389</v>
      </c>
      <c r="O195" s="82"/>
      <c r="P195" s="81" t="s">
        <v>16</v>
      </c>
      <c r="Q195" s="79" t="s">
        <v>61</v>
      </c>
      <c r="R195" s="79" t="s">
        <v>239</v>
      </c>
      <c r="S195" s="82"/>
      <c r="T195" s="82" t="s">
        <v>265</v>
      </c>
      <c r="U195" s="82" t="s">
        <v>264</v>
      </c>
      <c r="V195" s="84">
        <v>34.6</v>
      </c>
      <c r="W195" s="84">
        <v>-111.1</v>
      </c>
      <c r="X195" s="81">
        <v>2100</v>
      </c>
      <c r="Y195" s="99" t="s">
        <v>1991</v>
      </c>
      <c r="Z195" s="66" t="s">
        <v>2201</v>
      </c>
      <c r="AA195" s="97" t="s">
        <v>49</v>
      </c>
      <c r="AB195" s="79" t="s">
        <v>64</v>
      </c>
      <c r="AC195" s="79" t="s">
        <v>64</v>
      </c>
      <c r="AD195" s="79" t="s">
        <v>64</v>
      </c>
      <c r="AE195" s="82" t="s">
        <v>236</v>
      </c>
      <c r="AF195" s="82" t="s">
        <v>86</v>
      </c>
      <c r="AG195" s="82" t="s">
        <v>92</v>
      </c>
      <c r="AH195" s="82" t="s">
        <v>106</v>
      </c>
      <c r="AI195" s="82" t="s">
        <v>276</v>
      </c>
      <c r="AJ195" s="86">
        <v>3</v>
      </c>
      <c r="AK195" s="86">
        <v>4</v>
      </c>
      <c r="AL195" s="86">
        <v>4</v>
      </c>
      <c r="AM195" s="84" t="s">
        <v>225</v>
      </c>
      <c r="AN195" s="84" t="s">
        <v>524</v>
      </c>
      <c r="AO195" s="84" t="s">
        <v>524</v>
      </c>
      <c r="AP195" s="68" t="s">
        <v>2228</v>
      </c>
      <c r="AQ195" s="82" t="s">
        <v>88</v>
      </c>
      <c r="AR195" s="115">
        <v>1</v>
      </c>
      <c r="AS195" s="86"/>
      <c r="AT195" s="86"/>
      <c r="AU195" s="90">
        <v>32</v>
      </c>
      <c r="AV195" s="88">
        <v>0.1889763779527559</v>
      </c>
      <c r="AW195" s="82" t="s">
        <v>247</v>
      </c>
      <c r="AX195" s="82" t="s">
        <v>80</v>
      </c>
      <c r="AY195" s="115">
        <v>3</v>
      </c>
      <c r="AZ195" s="115">
        <v>1</v>
      </c>
      <c r="BA195" s="86"/>
      <c r="BB195" s="86"/>
      <c r="BC195" s="82"/>
      <c r="BD195" s="83" t="s">
        <v>124</v>
      </c>
      <c r="BE195" s="82" t="s">
        <v>182</v>
      </c>
      <c r="BF195" s="137" t="s">
        <v>110</v>
      </c>
      <c r="BG195" s="142" t="s">
        <v>21</v>
      </c>
      <c r="BH195" s="82" t="s">
        <v>81</v>
      </c>
      <c r="BI195" s="84" t="s">
        <v>1328</v>
      </c>
      <c r="BJ195" s="89">
        <f>254/12</f>
        <v>21.166666666666668</v>
      </c>
      <c r="BK195" s="84" t="s">
        <v>253</v>
      </c>
      <c r="BL195" s="84" t="s">
        <v>1301</v>
      </c>
      <c r="BM195" s="88">
        <v>7.625</v>
      </c>
      <c r="BN195" s="82" t="s">
        <v>379</v>
      </c>
      <c r="BO195" s="190" t="s">
        <v>158</v>
      </c>
      <c r="BP195" s="142" t="s">
        <v>64</v>
      </c>
      <c r="BQ195" s="82"/>
      <c r="BR195" s="138" t="s">
        <v>388</v>
      </c>
      <c r="BS195" s="138" t="s">
        <v>388</v>
      </c>
      <c r="BT195" s="82" t="s">
        <v>418</v>
      </c>
      <c r="BU195" s="86">
        <v>356</v>
      </c>
      <c r="BV195" s="86">
        <v>39</v>
      </c>
      <c r="BW195" s="191">
        <v>67.549981495186216</v>
      </c>
      <c r="BX195" s="86">
        <v>3</v>
      </c>
      <c r="BY195" s="86">
        <v>3</v>
      </c>
      <c r="BZ195" s="82" t="s">
        <v>147</v>
      </c>
      <c r="CA195" s="82" t="s">
        <v>1329</v>
      </c>
      <c r="CB195" s="82" t="s">
        <v>80</v>
      </c>
      <c r="CC195" s="86">
        <v>422</v>
      </c>
      <c r="CD195" s="86">
        <v>34</v>
      </c>
      <c r="CE195" s="90">
        <v>58.889727457341827</v>
      </c>
      <c r="CF195" s="86">
        <v>3</v>
      </c>
      <c r="CG195" s="86">
        <v>3</v>
      </c>
      <c r="CH195" s="82" t="s">
        <v>147</v>
      </c>
      <c r="CI195" s="82" t="s">
        <v>1329</v>
      </c>
      <c r="CJ195" s="82"/>
      <c r="CK195" s="86"/>
      <c r="CL195" s="86"/>
      <c r="CM195" s="86"/>
      <c r="CN195" s="86"/>
      <c r="CO195" s="86"/>
      <c r="CP195" s="82"/>
      <c r="CQ195" s="82"/>
      <c r="CR195" s="82"/>
      <c r="CS195" s="86"/>
      <c r="CT195" s="86"/>
      <c r="CU195" s="86"/>
      <c r="CV195" s="86"/>
      <c r="CW195" s="86"/>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6"/>
      <c r="DZ195" s="86"/>
      <c r="EA195" s="86"/>
      <c r="EB195" s="86"/>
      <c r="EC195" s="86"/>
      <c r="ED195" s="82"/>
      <c r="EE195" s="82"/>
      <c r="EF195" s="82"/>
      <c r="EG195" s="86"/>
      <c r="EH195" s="86"/>
      <c r="EI195" s="86"/>
      <c r="EJ195" s="86"/>
      <c r="EK195" s="86"/>
      <c r="EL195" s="82"/>
      <c r="EM195" s="82"/>
      <c r="EN195" s="86">
        <f t="shared" si="188"/>
        <v>356</v>
      </c>
      <c r="EO195" s="90">
        <f t="shared" si="189"/>
        <v>67.549981495186216</v>
      </c>
      <c r="EP195" s="86">
        <f t="shared" si="190"/>
        <v>3</v>
      </c>
      <c r="EQ195" s="86">
        <f t="shared" si="191"/>
        <v>3</v>
      </c>
      <c r="ER195" s="86">
        <f t="shared" si="192"/>
        <v>422</v>
      </c>
      <c r="ES195" s="90">
        <f t="shared" si="193"/>
        <v>58.889727457341827</v>
      </c>
      <c r="ET195" s="86">
        <f t="shared" si="194"/>
        <v>3</v>
      </c>
      <c r="EU195" s="86">
        <f t="shared" si="195"/>
        <v>3</v>
      </c>
      <c r="EV195" s="86">
        <f t="shared" si="196"/>
        <v>63.36797298320343</v>
      </c>
      <c r="EW195" s="86">
        <f t="shared" si="197"/>
        <v>-1.0415356037582932</v>
      </c>
      <c r="EX195" s="86">
        <f t="shared" si="198"/>
        <v>0.75706636782467929</v>
      </c>
      <c r="EY195" s="86">
        <f t="shared" si="199"/>
        <v>0.8</v>
      </c>
      <c r="EZ195" s="83">
        <f t="shared" si="200"/>
        <v>-0.83322848300663466</v>
      </c>
      <c r="FA195" s="83">
        <f t="shared" si="201"/>
        <v>0.48452247540779486</v>
      </c>
      <c r="FB195" s="83">
        <f t="shared" si="202"/>
        <v>6</v>
      </c>
      <c r="FC195" s="79" t="s">
        <v>125</v>
      </c>
    </row>
    <row r="196" spans="1:160" s="84" customFormat="1" ht="17.100000000000001" customHeight="1">
      <c r="A196" s="78" t="s">
        <v>1789</v>
      </c>
      <c r="B196" s="82" t="s">
        <v>1932</v>
      </c>
      <c r="C196" s="80" t="str">
        <f t="shared" ref="C196:C221" si="203">(D196&amp;" "&amp;E196&amp;".  "&amp;F196&amp;". "&amp;G196&amp;". "&amp;H196&amp;": "&amp;I196&amp;".")</f>
        <v>Scudieri, C. A., Sieg, C. H., Haase, S. M., Thode, A. E., &amp; Sackett, S. S. 2010.  Understory vegetation response after 30 years of interval prescribed burning in two ponderosa pine sites in northern Arizona, USA. Forest Ecology and Management. 260: 2134-2142.</v>
      </c>
      <c r="D196" s="82" t="s">
        <v>1462</v>
      </c>
      <c r="E196" s="81">
        <v>2010</v>
      </c>
      <c r="F196" s="79" t="s">
        <v>232</v>
      </c>
      <c r="G196" s="79" t="s">
        <v>20</v>
      </c>
      <c r="H196" s="81">
        <v>260</v>
      </c>
      <c r="I196" s="81" t="s">
        <v>233</v>
      </c>
      <c r="J196" s="79"/>
      <c r="K196" s="79" t="s">
        <v>234</v>
      </c>
      <c r="L196" s="82" t="s">
        <v>101</v>
      </c>
      <c r="M196" s="83" t="s">
        <v>73</v>
      </c>
      <c r="N196" s="82" t="s">
        <v>389</v>
      </c>
      <c r="O196" s="82"/>
      <c r="P196" s="81" t="s">
        <v>16</v>
      </c>
      <c r="Q196" s="79" t="s">
        <v>61</v>
      </c>
      <c r="R196" s="79" t="s">
        <v>239</v>
      </c>
      <c r="S196" s="82"/>
      <c r="T196" s="82" t="s">
        <v>265</v>
      </c>
      <c r="U196" s="82" t="s">
        <v>264</v>
      </c>
      <c r="V196" s="84">
        <v>34.6</v>
      </c>
      <c r="W196" s="84">
        <v>-111.1</v>
      </c>
      <c r="X196" s="81">
        <v>2100</v>
      </c>
      <c r="Y196" s="99" t="s">
        <v>1991</v>
      </c>
      <c r="Z196" s="66" t="s">
        <v>2201</v>
      </c>
      <c r="AA196" s="97" t="s">
        <v>49</v>
      </c>
      <c r="AB196" s="79" t="s">
        <v>64</v>
      </c>
      <c r="AC196" s="79" t="s">
        <v>64</v>
      </c>
      <c r="AD196" s="79" t="s">
        <v>64</v>
      </c>
      <c r="AE196" s="82" t="s">
        <v>236</v>
      </c>
      <c r="AF196" s="82" t="s">
        <v>86</v>
      </c>
      <c r="AG196" s="82" t="s">
        <v>92</v>
      </c>
      <c r="AH196" s="82" t="s">
        <v>106</v>
      </c>
      <c r="AI196" s="82" t="s">
        <v>276</v>
      </c>
      <c r="AJ196" s="86">
        <v>3</v>
      </c>
      <c r="AK196" s="86">
        <v>4</v>
      </c>
      <c r="AL196" s="86">
        <v>4</v>
      </c>
      <c r="AM196" s="84" t="s">
        <v>225</v>
      </c>
      <c r="AN196" s="84" t="s">
        <v>524</v>
      </c>
      <c r="AO196" s="84" t="s">
        <v>524</v>
      </c>
      <c r="AP196" s="68" t="s">
        <v>2228</v>
      </c>
      <c r="AQ196" s="82" t="s">
        <v>88</v>
      </c>
      <c r="AR196" s="115">
        <v>1</v>
      </c>
      <c r="AS196" s="86"/>
      <c r="AT196" s="86"/>
      <c r="AU196" s="90">
        <v>32</v>
      </c>
      <c r="AV196" s="88">
        <v>0.2</v>
      </c>
      <c r="AW196" s="82" t="s">
        <v>248</v>
      </c>
      <c r="AX196" s="82" t="s">
        <v>80</v>
      </c>
      <c r="AY196" s="115">
        <v>3</v>
      </c>
      <c r="AZ196" s="115">
        <v>1</v>
      </c>
      <c r="BA196" s="86"/>
      <c r="BB196" s="86"/>
      <c r="BC196" s="82"/>
      <c r="BD196" s="83" t="s">
        <v>124</v>
      </c>
      <c r="BE196" s="82" t="s">
        <v>182</v>
      </c>
      <c r="BF196" s="137" t="s">
        <v>110</v>
      </c>
      <c r="BG196" s="142" t="s">
        <v>21</v>
      </c>
      <c r="BH196" s="82" t="s">
        <v>81</v>
      </c>
      <c r="BI196" s="84" t="s">
        <v>1328</v>
      </c>
      <c r="BJ196" s="89">
        <f>240/12</f>
        <v>20</v>
      </c>
      <c r="BK196" s="84" t="s">
        <v>254</v>
      </c>
      <c r="BL196" s="84" t="s">
        <v>1300</v>
      </c>
      <c r="BM196" s="88">
        <v>9.4583333333333339</v>
      </c>
      <c r="BN196" s="82" t="s">
        <v>379</v>
      </c>
      <c r="BO196" s="190" t="s">
        <v>158</v>
      </c>
      <c r="BP196" s="142" t="s">
        <v>64</v>
      </c>
      <c r="BQ196" s="82"/>
      <c r="BR196" s="138" t="s">
        <v>388</v>
      </c>
      <c r="BS196" s="138" t="s">
        <v>388</v>
      </c>
      <c r="BT196" s="82" t="s">
        <v>422</v>
      </c>
      <c r="BU196" s="86">
        <v>378</v>
      </c>
      <c r="BV196" s="86">
        <v>15</v>
      </c>
      <c r="BW196" s="191">
        <v>25.980762113533157</v>
      </c>
      <c r="BX196" s="86">
        <v>3</v>
      </c>
      <c r="BY196" s="86">
        <v>3</v>
      </c>
      <c r="BZ196" s="82" t="s">
        <v>147</v>
      </c>
      <c r="CA196" s="82" t="s">
        <v>1329</v>
      </c>
      <c r="CB196" s="82" t="s">
        <v>80</v>
      </c>
      <c r="CC196" s="86">
        <v>422</v>
      </c>
      <c r="CD196" s="86">
        <v>34</v>
      </c>
      <c r="CE196" s="90">
        <v>58.889727457341827</v>
      </c>
      <c r="CF196" s="86">
        <v>3</v>
      </c>
      <c r="CG196" s="86">
        <v>3</v>
      </c>
      <c r="CH196" s="82" t="s">
        <v>147</v>
      </c>
      <c r="CI196" s="82" t="s">
        <v>1329</v>
      </c>
      <c r="CJ196" s="82"/>
      <c r="CK196" s="86"/>
      <c r="CL196" s="86"/>
      <c r="CM196" s="86"/>
      <c r="CN196" s="86"/>
      <c r="CO196" s="86"/>
      <c r="CP196" s="82"/>
      <c r="CQ196" s="82"/>
      <c r="CR196" s="82"/>
      <c r="CS196" s="86"/>
      <c r="CT196" s="86"/>
      <c r="CU196" s="86"/>
      <c r="CV196" s="86"/>
      <c r="CW196" s="86"/>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6"/>
      <c r="DZ196" s="86"/>
      <c r="EA196" s="86"/>
      <c r="EB196" s="86"/>
      <c r="EC196" s="86"/>
      <c r="ED196" s="82"/>
      <c r="EE196" s="82"/>
      <c r="EF196" s="82"/>
      <c r="EG196" s="86"/>
      <c r="EH196" s="86"/>
      <c r="EI196" s="86"/>
      <c r="EJ196" s="86"/>
      <c r="EK196" s="86"/>
      <c r="EL196" s="82"/>
      <c r="EM196" s="82"/>
      <c r="EN196" s="86">
        <f t="shared" si="188"/>
        <v>378</v>
      </c>
      <c r="EO196" s="90">
        <f t="shared" si="189"/>
        <v>25.980762113533157</v>
      </c>
      <c r="EP196" s="86">
        <f t="shared" si="190"/>
        <v>3</v>
      </c>
      <c r="EQ196" s="86">
        <f t="shared" si="191"/>
        <v>3</v>
      </c>
      <c r="ER196" s="86">
        <f t="shared" si="192"/>
        <v>422</v>
      </c>
      <c r="ES196" s="90">
        <f t="shared" si="193"/>
        <v>58.889727457341827</v>
      </c>
      <c r="ET196" s="86">
        <f t="shared" si="194"/>
        <v>3</v>
      </c>
      <c r="EU196" s="86">
        <f t="shared" si="195"/>
        <v>3</v>
      </c>
      <c r="EV196" s="86">
        <f t="shared" si="196"/>
        <v>45.513734190901104</v>
      </c>
      <c r="EW196" s="86">
        <f t="shared" si="197"/>
        <v>-0.96674115587721376</v>
      </c>
      <c r="EX196" s="86">
        <f t="shared" si="198"/>
        <v>0.74454903853890086</v>
      </c>
      <c r="EY196" s="86">
        <f t="shared" si="199"/>
        <v>0.8</v>
      </c>
      <c r="EZ196" s="83">
        <f t="shared" si="200"/>
        <v>-0.77339292470177101</v>
      </c>
      <c r="FA196" s="83">
        <f t="shared" si="201"/>
        <v>0.47651138466489662</v>
      </c>
      <c r="FB196" s="83">
        <f t="shared" si="202"/>
        <v>6</v>
      </c>
      <c r="FC196" s="79" t="s">
        <v>125</v>
      </c>
    </row>
    <row r="197" spans="1:160" s="84" customFormat="1" ht="17.100000000000001" customHeight="1">
      <c r="A197" s="78" t="s">
        <v>1955</v>
      </c>
      <c r="B197" s="91" t="s">
        <v>2061</v>
      </c>
      <c r="C197" s="80" t="str">
        <f t="shared" si="203"/>
        <v>Smith, J. E., McKay, D., Niwa, C. G., Thies, W. G., Brenner, G., &amp; Spatafora, J. W. 2004.  Short-term effects of seasonal prescribed burning on the ectomycorrhizal fungal community and fine root biomass in ponderosa pine stands in the Blue Mountains of Oregon. Canadian Journal of Forest Research. 34: 2477-2491.</v>
      </c>
      <c r="D197" s="81" t="s">
        <v>1957</v>
      </c>
      <c r="E197" s="81">
        <v>2004</v>
      </c>
      <c r="F197" s="91" t="s">
        <v>1958</v>
      </c>
      <c r="G197" s="91" t="s">
        <v>173</v>
      </c>
      <c r="H197" s="91">
        <v>34</v>
      </c>
      <c r="I197" s="92" t="s">
        <v>1959</v>
      </c>
      <c r="J197" s="81" t="s">
        <v>1960</v>
      </c>
      <c r="K197" s="91" t="s">
        <v>1961</v>
      </c>
      <c r="L197" s="84" t="s">
        <v>18</v>
      </c>
      <c r="M197" s="95" t="s">
        <v>164</v>
      </c>
      <c r="N197" s="84" t="s">
        <v>389</v>
      </c>
      <c r="P197" s="91" t="s">
        <v>16</v>
      </c>
      <c r="Q197" s="91" t="s">
        <v>587</v>
      </c>
      <c r="R197" s="91" t="s">
        <v>848</v>
      </c>
      <c r="S197" s="91"/>
      <c r="T197" s="91" t="s">
        <v>1962</v>
      </c>
      <c r="U197" s="91" t="s">
        <v>1963</v>
      </c>
      <c r="V197" s="91">
        <v>43.8</v>
      </c>
      <c r="W197" s="91">
        <v>-119</v>
      </c>
      <c r="X197" s="81" t="s">
        <v>1964</v>
      </c>
      <c r="Y197" s="104" t="s">
        <v>1990</v>
      </c>
      <c r="Z197" s="66" t="s">
        <v>2205</v>
      </c>
      <c r="AA197" s="93" t="s">
        <v>49</v>
      </c>
      <c r="AB197" s="84" t="s">
        <v>103</v>
      </c>
      <c r="AC197" s="81" t="s">
        <v>137</v>
      </c>
      <c r="AF197" s="84" t="s">
        <v>87</v>
      </c>
      <c r="AG197" s="84" t="s">
        <v>91</v>
      </c>
      <c r="AH197" s="84" t="s">
        <v>106</v>
      </c>
      <c r="AI197" s="84" t="s">
        <v>93</v>
      </c>
      <c r="AJ197" s="86">
        <v>4</v>
      </c>
      <c r="AK197" s="86">
        <v>1</v>
      </c>
      <c r="AL197" s="86">
        <v>1</v>
      </c>
      <c r="AM197" s="84" t="s">
        <v>68</v>
      </c>
      <c r="AN197" s="84" t="s">
        <v>526</v>
      </c>
      <c r="AO197" s="84" t="s">
        <v>526</v>
      </c>
      <c r="AP197" s="68" t="s">
        <v>2227</v>
      </c>
      <c r="AQ197" s="84" t="s">
        <v>94</v>
      </c>
      <c r="AR197" s="192">
        <v>1</v>
      </c>
      <c r="AS197" s="86">
        <v>6</v>
      </c>
      <c r="AT197" s="87"/>
      <c r="AU197" s="90"/>
      <c r="AV197" s="88">
        <v>0.92307692307692313</v>
      </c>
      <c r="AW197" s="84" t="s">
        <v>1965</v>
      </c>
      <c r="AX197" s="84" t="s">
        <v>80</v>
      </c>
      <c r="AY197" s="115">
        <v>4</v>
      </c>
      <c r="AZ197" s="115">
        <v>1</v>
      </c>
      <c r="BA197" s="87" t="s">
        <v>1966</v>
      </c>
      <c r="BB197" s="87"/>
      <c r="BC197" s="84" t="s">
        <v>1965</v>
      </c>
      <c r="BD197" s="93" t="s">
        <v>124</v>
      </c>
      <c r="BE197" s="84" t="s">
        <v>182</v>
      </c>
      <c r="BF197" s="149" t="s">
        <v>115</v>
      </c>
      <c r="BG197" s="193" t="s">
        <v>21</v>
      </c>
      <c r="BH197" s="84" t="s">
        <v>81</v>
      </c>
      <c r="BI197" s="84" t="s">
        <v>858</v>
      </c>
      <c r="BJ197" s="89">
        <f t="shared" ref="BJ197:BJ206" si="204">BK197/12</f>
        <v>1.0833333333333333</v>
      </c>
      <c r="BK197" s="84">
        <v>13</v>
      </c>
      <c r="BL197" s="84">
        <v>13</v>
      </c>
      <c r="BM197" s="88">
        <v>1.0833333333333333</v>
      </c>
      <c r="BN197" s="84" t="s">
        <v>389</v>
      </c>
      <c r="BO197" s="194" t="s">
        <v>670</v>
      </c>
      <c r="BP197" s="163" t="s">
        <v>64</v>
      </c>
      <c r="BQ197" s="84" t="s">
        <v>1967</v>
      </c>
      <c r="BR197" s="99" t="s">
        <v>1968</v>
      </c>
      <c r="BS197" s="99" t="s">
        <v>2164</v>
      </c>
      <c r="BT197" s="84" t="s">
        <v>843</v>
      </c>
      <c r="BU197" s="86"/>
      <c r="BV197" s="86"/>
      <c r="BW197" s="90"/>
      <c r="BX197" s="86"/>
      <c r="BY197" s="86"/>
      <c r="CC197" s="86"/>
      <c r="CD197" s="86"/>
      <c r="CE197" s="90"/>
      <c r="CF197" s="86"/>
      <c r="CG197" s="86"/>
      <c r="CK197" s="86"/>
      <c r="CL197" s="86"/>
      <c r="CM197" s="86"/>
      <c r="CN197" s="86"/>
      <c r="CO197" s="86"/>
      <c r="CR197" s="84" t="s">
        <v>1254</v>
      </c>
      <c r="CS197" s="86">
        <v>10.25</v>
      </c>
      <c r="CT197" s="86">
        <v>1.1100000000000001</v>
      </c>
      <c r="CU197" s="86">
        <v>2.2200000000000002</v>
      </c>
      <c r="CV197" s="87" t="s">
        <v>193</v>
      </c>
      <c r="CW197" s="86">
        <v>4</v>
      </c>
      <c r="CX197" s="84" t="s">
        <v>159</v>
      </c>
      <c r="CY197" s="84" t="s">
        <v>1969</v>
      </c>
      <c r="CZ197" s="84" t="s">
        <v>80</v>
      </c>
      <c r="DA197" s="82">
        <v>13</v>
      </c>
      <c r="DB197" s="82">
        <v>2.12</v>
      </c>
      <c r="DC197" s="82">
        <v>4.24</v>
      </c>
      <c r="DD197" s="167" t="s">
        <v>193</v>
      </c>
      <c r="DE197" s="82">
        <v>4</v>
      </c>
      <c r="DF197" s="84" t="s">
        <v>159</v>
      </c>
      <c r="DG197" s="84" t="s">
        <v>1969</v>
      </c>
      <c r="DH197" s="84" t="s">
        <v>1254</v>
      </c>
      <c r="DI197" s="82">
        <v>7.75</v>
      </c>
      <c r="DJ197" s="82">
        <v>2.87</v>
      </c>
      <c r="DK197" s="82">
        <v>5.74</v>
      </c>
      <c r="DL197" s="167" t="s">
        <v>193</v>
      </c>
      <c r="DM197" s="82">
        <v>4</v>
      </c>
      <c r="DN197" s="82" t="s">
        <v>159</v>
      </c>
      <c r="DO197" s="84" t="s">
        <v>1969</v>
      </c>
      <c r="DP197" s="84" t="s">
        <v>80</v>
      </c>
      <c r="DQ197" s="82">
        <v>9.75</v>
      </c>
      <c r="DR197" s="82">
        <v>2.75</v>
      </c>
      <c r="DS197" s="82">
        <v>5.5</v>
      </c>
      <c r="DT197" s="167" t="s">
        <v>193</v>
      </c>
      <c r="DU197" s="82">
        <v>4</v>
      </c>
      <c r="DV197" s="84" t="s">
        <v>159</v>
      </c>
      <c r="DW197" s="84" t="s">
        <v>1969</v>
      </c>
      <c r="DX197" s="84" t="s">
        <v>1747</v>
      </c>
      <c r="DY197" s="86">
        <f>DI197-CS197</f>
        <v>-2.5</v>
      </c>
      <c r="DZ197" s="86"/>
      <c r="EA197" s="86">
        <f>SQRT((CU197^2)+(DK197^2))</f>
        <v>6.1543480564556958</v>
      </c>
      <c r="EB197" s="87" t="s">
        <v>193</v>
      </c>
      <c r="EC197" s="86">
        <v>4</v>
      </c>
      <c r="ED197" s="84" t="s">
        <v>1743</v>
      </c>
      <c r="EE197" s="84" t="s">
        <v>1744</v>
      </c>
      <c r="EF197" s="84" t="s">
        <v>1746</v>
      </c>
      <c r="EG197" s="86">
        <f>DQ197-DA197</f>
        <v>-3.25</v>
      </c>
      <c r="EH197" s="86"/>
      <c r="EI197" s="86">
        <f>SQRT((DS197^2)+(DC197^2))</f>
        <v>6.944609420262597</v>
      </c>
      <c r="EJ197" s="87" t="s">
        <v>193</v>
      </c>
      <c r="EK197" s="86">
        <v>4</v>
      </c>
      <c r="EL197" s="84" t="s">
        <v>1743</v>
      </c>
      <c r="EM197" s="84" t="s">
        <v>1745</v>
      </c>
      <c r="EN197" s="86">
        <f>DY197</f>
        <v>-2.5</v>
      </c>
      <c r="EO197" s="86">
        <f t="shared" ref="EO197:EQ199" si="205">EA197</f>
        <v>6.1543480564556958</v>
      </c>
      <c r="EP197" s="86" t="str">
        <f t="shared" si="205"/>
        <v>4</v>
      </c>
      <c r="EQ197" s="86">
        <f t="shared" si="205"/>
        <v>4</v>
      </c>
      <c r="ER197" s="86">
        <f>EG197</f>
        <v>-3.25</v>
      </c>
      <c r="ES197" s="86">
        <f t="shared" ref="ES197:EU199" si="206">EI197</f>
        <v>6.944609420262597</v>
      </c>
      <c r="ET197" s="86" t="str">
        <f t="shared" si="206"/>
        <v>4</v>
      </c>
      <c r="EU197" s="86">
        <f t="shared" si="206"/>
        <v>4</v>
      </c>
      <c r="EV197" s="86">
        <f t="shared" si="196"/>
        <v>6.5613870484829651</v>
      </c>
      <c r="EW197" s="86">
        <f t="shared" si="197"/>
        <v>0.11430509958613169</v>
      </c>
      <c r="EX197" s="86">
        <f t="shared" si="198"/>
        <v>0.50081660348696222</v>
      </c>
      <c r="EY197" s="86">
        <f t="shared" si="199"/>
        <v>0.86956521739130432</v>
      </c>
      <c r="EZ197" s="83">
        <f t="shared" si="200"/>
        <v>9.9395738770549288E-2</v>
      </c>
      <c r="FA197" s="83">
        <f t="shared" si="201"/>
        <v>0.37868930320375216</v>
      </c>
      <c r="FB197" s="83">
        <f t="shared" si="202"/>
        <v>8</v>
      </c>
      <c r="FC197" s="84" t="s">
        <v>385</v>
      </c>
    </row>
    <row r="198" spans="1:160" s="84" customFormat="1" ht="17.100000000000001" customHeight="1">
      <c r="A198" s="78" t="s">
        <v>1955</v>
      </c>
      <c r="B198" s="91" t="s">
        <v>2062</v>
      </c>
      <c r="C198" s="80" t="str">
        <f t="shared" si="203"/>
        <v>Smith, J. E., McKay, D., Niwa, C. G., Thies, W. G., Brenner, G., &amp; Spatafora, J. W. 2004.  Short-term effects of seasonal prescribed burning on the ectomycorrhizal fungal community and fine root biomass in ponderosa pine stands in the Blue Mountains of Oregon. Canadian Journal of Forest Research. 34: 2477-2491.</v>
      </c>
      <c r="D198" s="81" t="s">
        <v>1957</v>
      </c>
      <c r="E198" s="81">
        <v>2004</v>
      </c>
      <c r="F198" s="91" t="s">
        <v>1958</v>
      </c>
      <c r="G198" s="91" t="s">
        <v>173</v>
      </c>
      <c r="H198" s="91">
        <v>34</v>
      </c>
      <c r="I198" s="92" t="s">
        <v>1959</v>
      </c>
      <c r="J198" s="81" t="s">
        <v>1960</v>
      </c>
      <c r="K198" s="91" t="s">
        <v>1961</v>
      </c>
      <c r="L198" s="84" t="s">
        <v>18</v>
      </c>
      <c r="M198" s="95" t="s">
        <v>164</v>
      </c>
      <c r="N198" s="84" t="s">
        <v>389</v>
      </c>
      <c r="P198" s="91" t="s">
        <v>16</v>
      </c>
      <c r="Q198" s="91" t="s">
        <v>587</v>
      </c>
      <c r="R198" s="91" t="s">
        <v>848</v>
      </c>
      <c r="S198" s="91"/>
      <c r="T198" s="91" t="s">
        <v>1962</v>
      </c>
      <c r="U198" s="91" t="s">
        <v>1963</v>
      </c>
      <c r="V198" s="91">
        <v>43.8</v>
      </c>
      <c r="W198" s="91">
        <v>-119</v>
      </c>
      <c r="X198" s="81" t="s">
        <v>1964</v>
      </c>
      <c r="Y198" s="104" t="s">
        <v>1990</v>
      </c>
      <c r="Z198" s="66" t="s">
        <v>2205</v>
      </c>
      <c r="AA198" s="93" t="s">
        <v>49</v>
      </c>
      <c r="AB198" s="84" t="s">
        <v>103</v>
      </c>
      <c r="AC198" s="81" t="s">
        <v>137</v>
      </c>
      <c r="AF198" s="84" t="s">
        <v>87</v>
      </c>
      <c r="AG198" s="84" t="s">
        <v>91</v>
      </c>
      <c r="AH198" s="84" t="s">
        <v>106</v>
      </c>
      <c r="AI198" s="84" t="s">
        <v>93</v>
      </c>
      <c r="AJ198" s="86">
        <v>4</v>
      </c>
      <c r="AK198" s="86">
        <v>1</v>
      </c>
      <c r="AL198" s="86">
        <v>1</v>
      </c>
      <c r="AM198" s="84" t="s">
        <v>68</v>
      </c>
      <c r="AN198" s="84" t="s">
        <v>690</v>
      </c>
      <c r="AO198" s="84" t="s">
        <v>524</v>
      </c>
      <c r="AP198" s="68" t="s">
        <v>2228</v>
      </c>
      <c r="AQ198" s="84" t="s">
        <v>94</v>
      </c>
      <c r="AR198" s="192">
        <v>1</v>
      </c>
      <c r="AS198" s="86">
        <v>6</v>
      </c>
      <c r="AT198" s="87"/>
      <c r="AU198" s="90"/>
      <c r="AV198" s="88">
        <v>0.54545454545454553</v>
      </c>
      <c r="AW198" s="84" t="s">
        <v>1965</v>
      </c>
      <c r="AX198" s="84" t="s">
        <v>80</v>
      </c>
      <c r="AY198" s="115">
        <v>4</v>
      </c>
      <c r="AZ198" s="115">
        <v>1</v>
      </c>
      <c r="BA198" s="87" t="s">
        <v>1966</v>
      </c>
      <c r="BB198" s="87"/>
      <c r="BC198" s="84" t="s">
        <v>1965</v>
      </c>
      <c r="BD198" s="93" t="s">
        <v>124</v>
      </c>
      <c r="BE198" s="84" t="s">
        <v>182</v>
      </c>
      <c r="BF198" s="149" t="s">
        <v>115</v>
      </c>
      <c r="BG198" s="193" t="s">
        <v>21</v>
      </c>
      <c r="BH198" s="84" t="s">
        <v>81</v>
      </c>
      <c r="BI198" s="84" t="s">
        <v>858</v>
      </c>
      <c r="BJ198" s="89">
        <f t="shared" si="204"/>
        <v>1.8333333333333333</v>
      </c>
      <c r="BK198" s="84">
        <v>22</v>
      </c>
      <c r="BL198" s="84">
        <v>22</v>
      </c>
      <c r="BM198" s="88">
        <v>1.8333333333333333</v>
      </c>
      <c r="BN198" s="84" t="s">
        <v>389</v>
      </c>
      <c r="BO198" s="194" t="s">
        <v>670</v>
      </c>
      <c r="BP198" s="163" t="s">
        <v>64</v>
      </c>
      <c r="BQ198" s="84" t="s">
        <v>1967</v>
      </c>
      <c r="BR198" s="99" t="s">
        <v>1968</v>
      </c>
      <c r="BS198" s="99" t="s">
        <v>2164</v>
      </c>
      <c r="BT198" s="84" t="s">
        <v>843</v>
      </c>
      <c r="BU198" s="86"/>
      <c r="BV198" s="86"/>
      <c r="BW198" s="90"/>
      <c r="BX198" s="86"/>
      <c r="BY198" s="86"/>
      <c r="CC198" s="86"/>
      <c r="CD198" s="86"/>
      <c r="CE198" s="90"/>
      <c r="CF198" s="86"/>
      <c r="CG198" s="86"/>
      <c r="CK198" s="86"/>
      <c r="CL198" s="86"/>
      <c r="CM198" s="86"/>
      <c r="CN198" s="86"/>
      <c r="CO198" s="86"/>
      <c r="CR198" s="84" t="s">
        <v>1253</v>
      </c>
      <c r="CS198" s="86">
        <v>9.5</v>
      </c>
      <c r="CT198" s="86">
        <v>2.63</v>
      </c>
      <c r="CU198" s="86">
        <v>5.26</v>
      </c>
      <c r="CV198" s="87" t="s">
        <v>193</v>
      </c>
      <c r="CW198" s="86">
        <v>4</v>
      </c>
      <c r="CX198" s="84" t="s">
        <v>159</v>
      </c>
      <c r="CY198" s="84" t="s">
        <v>1969</v>
      </c>
      <c r="CZ198" s="84" t="s">
        <v>80</v>
      </c>
      <c r="DA198" s="82">
        <v>13</v>
      </c>
      <c r="DB198" s="82">
        <v>2.12</v>
      </c>
      <c r="DC198" s="82">
        <v>4.24</v>
      </c>
      <c r="DD198" s="167" t="s">
        <v>193</v>
      </c>
      <c r="DE198" s="82">
        <v>4</v>
      </c>
      <c r="DF198" s="84" t="s">
        <v>159</v>
      </c>
      <c r="DG198" s="84" t="s">
        <v>1969</v>
      </c>
      <c r="DH198" s="84" t="s">
        <v>1253</v>
      </c>
      <c r="DI198" s="82">
        <v>1.25</v>
      </c>
      <c r="DJ198" s="82">
        <v>0.63</v>
      </c>
      <c r="DK198" s="82">
        <v>1.26</v>
      </c>
      <c r="DL198" s="167" t="s">
        <v>193</v>
      </c>
      <c r="DM198" s="82">
        <v>4</v>
      </c>
      <c r="DN198" s="82" t="s">
        <v>159</v>
      </c>
      <c r="DO198" s="84" t="s">
        <v>1969</v>
      </c>
      <c r="DP198" s="84" t="s">
        <v>80</v>
      </c>
      <c r="DQ198" s="82">
        <v>9.75</v>
      </c>
      <c r="DR198" s="82">
        <v>2.75</v>
      </c>
      <c r="DS198" s="82">
        <v>5.5</v>
      </c>
      <c r="DT198" s="167" t="s">
        <v>193</v>
      </c>
      <c r="DU198" s="82">
        <v>4</v>
      </c>
      <c r="DV198" s="84" t="s">
        <v>159</v>
      </c>
      <c r="DW198" s="84" t="s">
        <v>1969</v>
      </c>
      <c r="DX198" s="84" t="s">
        <v>1747</v>
      </c>
      <c r="DY198" s="86">
        <f>DI198-CS198</f>
        <v>-8.25</v>
      </c>
      <c r="DZ198" s="86"/>
      <c r="EA198" s="86">
        <f>SQRT((CU198^2)+(DK198^2))</f>
        <v>5.4088076320017144</v>
      </c>
      <c r="EB198" s="87" t="s">
        <v>193</v>
      </c>
      <c r="EC198" s="86">
        <v>4</v>
      </c>
      <c r="ED198" s="84" t="s">
        <v>1743</v>
      </c>
      <c r="EE198" s="84" t="s">
        <v>1744</v>
      </c>
      <c r="EF198" s="84" t="s">
        <v>1746</v>
      </c>
      <c r="EG198" s="86">
        <f>DQ198-DA198</f>
        <v>-3.25</v>
      </c>
      <c r="EH198" s="86"/>
      <c r="EI198" s="86">
        <f>SQRT((DS198^2)+(DC198^2))</f>
        <v>6.944609420262597</v>
      </c>
      <c r="EJ198" s="87" t="s">
        <v>193</v>
      </c>
      <c r="EK198" s="86">
        <v>4</v>
      </c>
      <c r="EL198" s="84" t="s">
        <v>1743</v>
      </c>
      <c r="EM198" s="84" t="s">
        <v>1745</v>
      </c>
      <c r="EN198" s="86">
        <f>DY198</f>
        <v>-8.25</v>
      </c>
      <c r="EO198" s="86">
        <f t="shared" si="205"/>
        <v>5.4088076320017144</v>
      </c>
      <c r="EP198" s="86" t="str">
        <f t="shared" si="205"/>
        <v>4</v>
      </c>
      <c r="EQ198" s="86">
        <f t="shared" si="205"/>
        <v>4</v>
      </c>
      <c r="ER198" s="86">
        <f>EG198</f>
        <v>-3.25</v>
      </c>
      <c r="ES198" s="86">
        <f t="shared" si="206"/>
        <v>6.944609420262597</v>
      </c>
      <c r="ET198" s="86" t="str">
        <f t="shared" si="206"/>
        <v>4</v>
      </c>
      <c r="EU198" s="86">
        <f t="shared" si="206"/>
        <v>4</v>
      </c>
      <c r="EV198" s="86">
        <f t="shared" si="196"/>
        <v>6.2242589920407392</v>
      </c>
      <c r="EW198" s="86">
        <f t="shared" si="197"/>
        <v>-0.80330847517652171</v>
      </c>
      <c r="EX198" s="86">
        <f t="shared" si="198"/>
        <v>0.54033153164315173</v>
      </c>
      <c r="EY198" s="86">
        <f t="shared" si="199"/>
        <v>0.86956521739130432</v>
      </c>
      <c r="EZ198" s="83">
        <f t="shared" si="200"/>
        <v>-0.69852910884914932</v>
      </c>
      <c r="FA198" s="83">
        <f t="shared" si="201"/>
        <v>0.40856826589274231</v>
      </c>
      <c r="FB198" s="83">
        <f t="shared" si="202"/>
        <v>8</v>
      </c>
      <c r="FC198" s="84" t="s">
        <v>385</v>
      </c>
    </row>
    <row r="199" spans="1:160" s="84" customFormat="1" ht="17.100000000000001" customHeight="1">
      <c r="A199" s="78" t="s">
        <v>1840</v>
      </c>
      <c r="B199" s="96" t="s">
        <v>1416</v>
      </c>
      <c r="C199" s="80" t="str">
        <f t="shared" si="203"/>
        <v>Smith, J. E., McKay, D., Brenner, G., McIver, J. I. M., &amp; Spatafora, J. W.  2005.  Early impacts of forest restoration treatments on the ectomycorrhizal fungal community and fine root biomass in a mixed conifer forest. Journal of Applied Ecology. 42: 526-535.</v>
      </c>
      <c r="D199" s="91" t="s">
        <v>1507</v>
      </c>
      <c r="E199" s="91">
        <v>2005</v>
      </c>
      <c r="F199" s="96" t="s">
        <v>1005</v>
      </c>
      <c r="G199" s="96" t="s">
        <v>978</v>
      </c>
      <c r="H199" s="91">
        <v>42</v>
      </c>
      <c r="I199" s="92" t="s">
        <v>1006</v>
      </c>
      <c r="J199" s="81" t="s">
        <v>1839</v>
      </c>
      <c r="K199" s="96" t="s">
        <v>1007</v>
      </c>
      <c r="L199" s="82" t="s">
        <v>18</v>
      </c>
      <c r="M199" s="95" t="s">
        <v>164</v>
      </c>
      <c r="N199" s="82" t="s">
        <v>389</v>
      </c>
      <c r="O199" s="82"/>
      <c r="P199" s="91" t="s">
        <v>16</v>
      </c>
      <c r="Q199" s="96" t="s">
        <v>587</v>
      </c>
      <c r="R199" s="96" t="s">
        <v>1008</v>
      </c>
      <c r="S199" s="96" t="s">
        <v>1563</v>
      </c>
      <c r="T199" s="96" t="s">
        <v>1009</v>
      </c>
      <c r="U199" s="96" t="s">
        <v>1010</v>
      </c>
      <c r="V199" s="91">
        <v>45.67</v>
      </c>
      <c r="W199" s="91">
        <v>-117.22</v>
      </c>
      <c r="X199" s="91" t="s">
        <v>1011</v>
      </c>
      <c r="Y199" s="99" t="s">
        <v>1896</v>
      </c>
      <c r="Z199" s="66" t="s">
        <v>2203</v>
      </c>
      <c r="AA199" s="97" t="s">
        <v>49</v>
      </c>
      <c r="AB199" s="79" t="s">
        <v>103</v>
      </c>
      <c r="AC199" s="82" t="s">
        <v>135</v>
      </c>
      <c r="AD199" s="82"/>
      <c r="AE199" s="82"/>
      <c r="AF199" s="82" t="s">
        <v>86</v>
      </c>
      <c r="AG199" s="82" t="s">
        <v>92</v>
      </c>
      <c r="AH199" s="82" t="s">
        <v>106</v>
      </c>
      <c r="AI199" s="82" t="s">
        <v>272</v>
      </c>
      <c r="AJ199" s="86">
        <v>4</v>
      </c>
      <c r="AK199" s="86">
        <v>1</v>
      </c>
      <c r="AL199" s="86">
        <v>1</v>
      </c>
      <c r="AM199" s="84" t="s">
        <v>1012</v>
      </c>
      <c r="AN199" s="84" t="s">
        <v>1013</v>
      </c>
      <c r="AO199" s="84" t="s">
        <v>524</v>
      </c>
      <c r="AP199" s="68" t="s">
        <v>2228</v>
      </c>
      <c r="AQ199" s="82" t="s">
        <v>94</v>
      </c>
      <c r="AR199" s="115">
        <v>1</v>
      </c>
      <c r="AS199" s="86">
        <v>3</v>
      </c>
      <c r="AT199" s="86"/>
      <c r="AU199" s="87"/>
      <c r="AV199" s="88">
        <v>1</v>
      </c>
      <c r="AW199" s="82" t="s">
        <v>1014</v>
      </c>
      <c r="AX199" s="82" t="s">
        <v>80</v>
      </c>
      <c r="AY199" s="115">
        <v>4</v>
      </c>
      <c r="AZ199" s="115">
        <v>1</v>
      </c>
      <c r="BA199" s="86">
        <v>3</v>
      </c>
      <c r="BB199" s="86"/>
      <c r="BC199" s="82" t="s">
        <v>1014</v>
      </c>
      <c r="BD199" s="83" t="s">
        <v>124</v>
      </c>
      <c r="BE199" s="82" t="s">
        <v>182</v>
      </c>
      <c r="BF199" s="137" t="s">
        <v>115</v>
      </c>
      <c r="BG199" s="142" t="s">
        <v>21</v>
      </c>
      <c r="BH199" s="82" t="s">
        <v>81</v>
      </c>
      <c r="BI199" s="84" t="s">
        <v>858</v>
      </c>
      <c r="BJ199" s="89">
        <f t="shared" si="204"/>
        <v>0.75</v>
      </c>
      <c r="BK199" s="84">
        <v>9</v>
      </c>
      <c r="BL199" s="84">
        <v>9</v>
      </c>
      <c r="BM199" s="88">
        <v>0.75</v>
      </c>
      <c r="BN199" s="82" t="s">
        <v>379</v>
      </c>
      <c r="BO199" s="190" t="s">
        <v>670</v>
      </c>
      <c r="BP199" s="142" t="s">
        <v>64</v>
      </c>
      <c r="BQ199" s="82"/>
      <c r="BR199" s="138" t="s">
        <v>1015</v>
      </c>
      <c r="BS199" s="138" t="s">
        <v>2164</v>
      </c>
      <c r="BT199" s="82"/>
      <c r="BU199" s="86"/>
      <c r="BV199" s="86"/>
      <c r="BW199" s="90"/>
      <c r="BX199" s="86"/>
      <c r="BY199" s="86"/>
      <c r="BZ199" s="82"/>
      <c r="CA199" s="82"/>
      <c r="CB199" s="82"/>
      <c r="CC199" s="86"/>
      <c r="CD199" s="86"/>
      <c r="CE199" s="90"/>
      <c r="CF199" s="86"/>
      <c r="CG199" s="86"/>
      <c r="CH199" s="82"/>
      <c r="CI199" s="82"/>
      <c r="CJ199" s="82"/>
      <c r="CK199" s="86"/>
      <c r="CL199" s="86"/>
      <c r="CM199" s="86"/>
      <c r="CN199" s="86"/>
      <c r="CO199" s="86"/>
      <c r="CP199" s="82"/>
      <c r="CQ199" s="82"/>
      <c r="CR199" s="82" t="s">
        <v>572</v>
      </c>
      <c r="CS199" s="86">
        <v>9.5</v>
      </c>
      <c r="CT199" s="86">
        <v>1.7</v>
      </c>
      <c r="CU199" s="86">
        <v>3.4</v>
      </c>
      <c r="CV199" s="86">
        <v>4</v>
      </c>
      <c r="CW199" s="86">
        <v>4</v>
      </c>
      <c r="CX199" s="82" t="s">
        <v>216</v>
      </c>
      <c r="CY199" s="82" t="s">
        <v>1358</v>
      </c>
      <c r="CZ199" s="82" t="s">
        <v>80</v>
      </c>
      <c r="DA199" s="82">
        <v>15</v>
      </c>
      <c r="DB199" s="82">
        <v>1.2</v>
      </c>
      <c r="DC199" s="82">
        <v>2.0779999999999998</v>
      </c>
      <c r="DD199" s="82">
        <v>3</v>
      </c>
      <c r="DE199" s="82">
        <v>3</v>
      </c>
      <c r="DF199" s="82" t="s">
        <v>216</v>
      </c>
      <c r="DG199" s="82" t="s">
        <v>1359</v>
      </c>
      <c r="DH199" s="82" t="s">
        <v>572</v>
      </c>
      <c r="DI199" s="82">
        <v>6.8</v>
      </c>
      <c r="DJ199" s="82">
        <v>2</v>
      </c>
      <c r="DK199" s="82">
        <v>4</v>
      </c>
      <c r="DL199" s="82">
        <v>4</v>
      </c>
      <c r="DM199" s="82">
        <v>4</v>
      </c>
      <c r="DN199" s="82" t="s">
        <v>216</v>
      </c>
      <c r="DO199" s="82" t="s">
        <v>1358</v>
      </c>
      <c r="DP199" s="82" t="s">
        <v>80</v>
      </c>
      <c r="DQ199" s="79">
        <v>12.3</v>
      </c>
      <c r="DR199" s="79">
        <v>0.9</v>
      </c>
      <c r="DS199" s="82">
        <v>1.5580000000000001</v>
      </c>
      <c r="DT199" s="82">
        <v>3</v>
      </c>
      <c r="DU199" s="82">
        <v>3</v>
      </c>
      <c r="DV199" s="82" t="s">
        <v>216</v>
      </c>
      <c r="DW199" s="82" t="s">
        <v>1359</v>
      </c>
      <c r="DX199" s="82" t="s">
        <v>1747</v>
      </c>
      <c r="DY199" s="86">
        <f>DI199-CS199</f>
        <v>-2.7</v>
      </c>
      <c r="DZ199" s="86"/>
      <c r="EA199" s="86">
        <f>SQRT((CU199^2)+(DK199^2))</f>
        <v>5.2497618993626745</v>
      </c>
      <c r="EB199" s="86">
        <v>4</v>
      </c>
      <c r="EC199" s="86">
        <v>4</v>
      </c>
      <c r="ED199" s="82" t="s">
        <v>1743</v>
      </c>
      <c r="EE199" s="82" t="s">
        <v>1744</v>
      </c>
      <c r="EF199" s="82" t="s">
        <v>1746</v>
      </c>
      <c r="EG199" s="86">
        <f>DQ199-DA199</f>
        <v>-2.6999999999999993</v>
      </c>
      <c r="EH199" s="86"/>
      <c r="EI199" s="86">
        <f>SQRT((DS199^2)+(DC199^2))</f>
        <v>2.5972000308024024</v>
      </c>
      <c r="EJ199" s="86">
        <v>3</v>
      </c>
      <c r="EK199" s="86">
        <v>3</v>
      </c>
      <c r="EL199" s="82" t="s">
        <v>1743</v>
      </c>
      <c r="EM199" s="82" t="s">
        <v>1745</v>
      </c>
      <c r="EN199" s="86">
        <f>DY199</f>
        <v>-2.7</v>
      </c>
      <c r="EO199" s="86">
        <f t="shared" si="205"/>
        <v>5.2497618993626745</v>
      </c>
      <c r="EP199" s="86">
        <f t="shared" si="205"/>
        <v>4</v>
      </c>
      <c r="EQ199" s="86">
        <f t="shared" si="205"/>
        <v>4</v>
      </c>
      <c r="ER199" s="86">
        <f>EG199</f>
        <v>-2.6999999999999993</v>
      </c>
      <c r="ES199" s="86">
        <f t="shared" si="206"/>
        <v>2.5972000308024024</v>
      </c>
      <c r="ET199" s="86">
        <f t="shared" si="206"/>
        <v>3</v>
      </c>
      <c r="EU199" s="86">
        <f t="shared" si="206"/>
        <v>3</v>
      </c>
      <c r="EV199" s="86">
        <f t="shared" si="196"/>
        <v>4.3856788756132152</v>
      </c>
      <c r="EW199" s="86">
        <f t="shared" si="197"/>
        <v>-2.0251788717110261E-16</v>
      </c>
      <c r="EX199" s="86">
        <f t="shared" si="198"/>
        <v>0.58333333333333337</v>
      </c>
      <c r="EY199" s="86">
        <f t="shared" si="199"/>
        <v>0.84210526315789469</v>
      </c>
      <c r="EZ199" s="83">
        <f t="shared" si="200"/>
        <v>-1.7054137867040219E-16</v>
      </c>
      <c r="FA199" s="83">
        <f t="shared" si="201"/>
        <v>0.41366574330563244</v>
      </c>
      <c r="FB199" s="83">
        <f t="shared" si="202"/>
        <v>7</v>
      </c>
      <c r="FC199" s="63" t="s">
        <v>385</v>
      </c>
    </row>
    <row r="200" spans="1:160" s="84" customFormat="1" ht="17.100000000000001" customHeight="1">
      <c r="A200" s="78" t="s">
        <v>1855</v>
      </c>
      <c r="B200" s="195" t="s">
        <v>1436</v>
      </c>
      <c r="C200" s="80" t="str">
        <f t="shared" si="203"/>
        <v>Stevens, J. T., Safford, H. D., Harrison, S., &amp; Latimer, A. M.  2015.  Forest disturbance accelerates thermophilization of understory plant communities. Journal of Ecology. 103 (5): 1253-1263.</v>
      </c>
      <c r="D200" s="141" t="s">
        <v>1525</v>
      </c>
      <c r="E200" s="141">
        <v>2015</v>
      </c>
      <c r="F200" s="141" t="s">
        <v>1554</v>
      </c>
      <c r="G200" s="141" t="s">
        <v>449</v>
      </c>
      <c r="H200" s="92" t="s">
        <v>1320</v>
      </c>
      <c r="I200" s="92" t="s">
        <v>861</v>
      </c>
      <c r="J200" s="82"/>
      <c r="K200" s="82" t="s">
        <v>1321</v>
      </c>
      <c r="L200" s="82" t="s">
        <v>101</v>
      </c>
      <c r="M200" s="83" t="s">
        <v>73</v>
      </c>
      <c r="N200" s="82" t="s">
        <v>389</v>
      </c>
      <c r="O200" s="82"/>
      <c r="P200" s="84" t="s">
        <v>16</v>
      </c>
      <c r="Q200" s="82" t="s">
        <v>15</v>
      </c>
      <c r="R200" s="82" t="s">
        <v>1324</v>
      </c>
      <c r="S200" s="82"/>
      <c r="T200" s="82" t="s">
        <v>1323</v>
      </c>
      <c r="U200" s="82" t="s">
        <v>1322</v>
      </c>
      <c r="V200" s="84">
        <v>40.14</v>
      </c>
      <c r="W200" s="84">
        <v>-120.58</v>
      </c>
      <c r="Y200" s="85" t="s">
        <v>1899</v>
      </c>
      <c r="Z200" s="66" t="s">
        <v>2204</v>
      </c>
      <c r="AA200" s="83" t="s">
        <v>49</v>
      </c>
      <c r="AB200" s="82" t="s">
        <v>238</v>
      </c>
      <c r="AC200" s="82" t="s">
        <v>136</v>
      </c>
      <c r="AD200" s="82"/>
      <c r="AE200" s="82" t="s">
        <v>1333</v>
      </c>
      <c r="AF200" s="96" t="s">
        <v>107</v>
      </c>
      <c r="AG200" s="84" t="s">
        <v>91</v>
      </c>
      <c r="AH200" s="82" t="s">
        <v>106</v>
      </c>
      <c r="AI200" s="82" t="s">
        <v>272</v>
      </c>
      <c r="AJ200" s="86">
        <v>1</v>
      </c>
      <c r="AK200" s="86">
        <v>1</v>
      </c>
      <c r="AL200" s="86">
        <v>1</v>
      </c>
      <c r="AM200" s="84" t="s">
        <v>64</v>
      </c>
      <c r="AN200" s="84" t="s">
        <v>64</v>
      </c>
      <c r="AO200" s="84" t="s">
        <v>64</v>
      </c>
      <c r="AP200" s="68" t="s">
        <v>64</v>
      </c>
      <c r="AQ200" s="82" t="s">
        <v>94</v>
      </c>
      <c r="AR200" s="115">
        <v>2</v>
      </c>
      <c r="AS200" s="86">
        <v>5</v>
      </c>
      <c r="AT200" s="86"/>
      <c r="AU200" s="90">
        <v>5</v>
      </c>
      <c r="AV200" s="88">
        <v>0.2</v>
      </c>
      <c r="AW200" s="82" t="s">
        <v>1334</v>
      </c>
      <c r="AX200" s="82" t="s">
        <v>80</v>
      </c>
      <c r="AY200" s="115">
        <v>1</v>
      </c>
      <c r="AZ200" s="115">
        <v>2</v>
      </c>
      <c r="BA200" s="86">
        <v>5</v>
      </c>
      <c r="BB200" s="86"/>
      <c r="BC200" s="82"/>
      <c r="BD200" s="83" t="s">
        <v>124</v>
      </c>
      <c r="BE200" s="82" t="s">
        <v>182</v>
      </c>
      <c r="BF200" s="149" t="s">
        <v>110</v>
      </c>
      <c r="BG200" s="163" t="s">
        <v>21</v>
      </c>
      <c r="BH200" s="84" t="s">
        <v>22</v>
      </c>
      <c r="BI200" s="84" t="s">
        <v>1325</v>
      </c>
      <c r="BJ200" s="89">
        <f t="shared" si="204"/>
        <v>5</v>
      </c>
      <c r="BK200" s="84">
        <v>60</v>
      </c>
      <c r="BL200" s="84">
        <v>60</v>
      </c>
      <c r="BM200" s="88">
        <v>5</v>
      </c>
      <c r="BN200" s="82" t="s">
        <v>379</v>
      </c>
      <c r="BO200" s="190" t="s">
        <v>542</v>
      </c>
      <c r="BP200" s="142" t="s">
        <v>64</v>
      </c>
      <c r="BQ200" s="82" t="s">
        <v>578</v>
      </c>
      <c r="BR200" s="138" t="s">
        <v>1782</v>
      </c>
      <c r="BS200" s="138" t="s">
        <v>388</v>
      </c>
      <c r="BT200" s="82" t="s">
        <v>572</v>
      </c>
      <c r="BU200" s="90">
        <v>20</v>
      </c>
      <c r="BV200" s="90">
        <v>1.41</v>
      </c>
      <c r="BW200" s="90">
        <v>1.41</v>
      </c>
      <c r="BX200" s="86">
        <v>2</v>
      </c>
      <c r="BY200" s="86">
        <v>2</v>
      </c>
      <c r="BZ200" s="82" t="s">
        <v>1327</v>
      </c>
      <c r="CA200" s="82" t="s">
        <v>1326</v>
      </c>
      <c r="CB200" s="82" t="s">
        <v>80</v>
      </c>
      <c r="CC200" s="90">
        <v>19</v>
      </c>
      <c r="CD200" s="90">
        <v>8.49</v>
      </c>
      <c r="CE200" s="90">
        <v>8.49</v>
      </c>
      <c r="CF200" s="86">
        <v>2</v>
      </c>
      <c r="CG200" s="86">
        <v>2</v>
      </c>
      <c r="CH200" s="82" t="s">
        <v>1327</v>
      </c>
      <c r="CI200" s="82" t="s">
        <v>1326</v>
      </c>
      <c r="CJ200" s="82"/>
      <c r="CK200" s="86"/>
      <c r="CL200" s="86"/>
      <c r="CM200" s="86"/>
      <c r="CN200" s="86"/>
      <c r="CO200" s="86"/>
      <c r="CP200" s="82"/>
      <c r="CQ200" s="82"/>
      <c r="CR200" s="82"/>
      <c r="CS200" s="86"/>
      <c r="CT200" s="86"/>
      <c r="CU200" s="86"/>
      <c r="CV200" s="86"/>
      <c r="CW200" s="86"/>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6"/>
      <c r="DZ200" s="86"/>
      <c r="EA200" s="86"/>
      <c r="EB200" s="86"/>
      <c r="EC200" s="86"/>
      <c r="ED200" s="82"/>
      <c r="EE200" s="82"/>
      <c r="EF200" s="82"/>
      <c r="EG200" s="86"/>
      <c r="EH200" s="86"/>
      <c r="EI200" s="86"/>
      <c r="EJ200" s="86"/>
      <c r="EK200" s="86"/>
      <c r="EL200" s="82"/>
      <c r="EM200" s="82"/>
      <c r="EN200" s="86">
        <f>BU200</f>
        <v>20</v>
      </c>
      <c r="EO200" s="90">
        <f t="shared" ref="EO200:EQ201" si="207">BW200</f>
        <v>1.41</v>
      </c>
      <c r="EP200" s="86">
        <f t="shared" si="207"/>
        <v>2</v>
      </c>
      <c r="EQ200" s="86">
        <f t="shared" si="207"/>
        <v>2</v>
      </c>
      <c r="ER200" s="86">
        <f>CC200</f>
        <v>19</v>
      </c>
      <c r="ES200" s="90">
        <f t="shared" ref="ES200:EU201" si="208">CE200</f>
        <v>8.49</v>
      </c>
      <c r="ET200" s="86">
        <f t="shared" si="208"/>
        <v>2</v>
      </c>
      <c r="EU200" s="86">
        <f t="shared" si="208"/>
        <v>2</v>
      </c>
      <c r="EV200" s="86">
        <f t="shared" si="196"/>
        <v>6.0855648875022279</v>
      </c>
      <c r="EW200" s="86">
        <f t="shared" si="197"/>
        <v>0.16432328279888608</v>
      </c>
      <c r="EX200" s="86">
        <f t="shared" si="198"/>
        <v>1.0033752676587253</v>
      </c>
      <c r="EY200" s="86">
        <f t="shared" si="199"/>
        <v>0.5714285714285714</v>
      </c>
      <c r="EZ200" s="83">
        <f t="shared" si="200"/>
        <v>9.3899018742220619E-2</v>
      </c>
      <c r="FA200" s="83">
        <f t="shared" si="201"/>
        <v>0.32763274045999191</v>
      </c>
      <c r="FB200" s="83">
        <f t="shared" si="202"/>
        <v>4</v>
      </c>
      <c r="FC200" s="82" t="s">
        <v>125</v>
      </c>
    </row>
    <row r="201" spans="1:160" s="84" customFormat="1" ht="17.100000000000001" customHeight="1">
      <c r="A201" s="78" t="s">
        <v>1855</v>
      </c>
      <c r="B201" s="195" t="s">
        <v>1437</v>
      </c>
      <c r="C201" s="80" t="str">
        <f t="shared" si="203"/>
        <v>Stevens, J. T., Safford, H. D., Harrison, S., &amp; Latimer, A. M.  2015.  Forest disturbance accelerates thermophilization of understory plant communities. Journal of Ecology. 103 (5): 1253-1263.</v>
      </c>
      <c r="D201" s="141" t="s">
        <v>1525</v>
      </c>
      <c r="E201" s="141">
        <v>2015</v>
      </c>
      <c r="F201" s="141" t="s">
        <v>1554</v>
      </c>
      <c r="G201" s="141" t="s">
        <v>449</v>
      </c>
      <c r="H201" s="92" t="s">
        <v>1320</v>
      </c>
      <c r="I201" s="92" t="s">
        <v>861</v>
      </c>
      <c r="J201" s="82"/>
      <c r="K201" s="82" t="s">
        <v>1321</v>
      </c>
      <c r="L201" s="82" t="s">
        <v>101</v>
      </c>
      <c r="M201" s="83" t="s">
        <v>73</v>
      </c>
      <c r="N201" s="82" t="s">
        <v>389</v>
      </c>
      <c r="O201" s="82"/>
      <c r="P201" s="84" t="s">
        <v>16</v>
      </c>
      <c r="Q201" s="82" t="s">
        <v>15</v>
      </c>
      <c r="R201" s="82" t="s">
        <v>1324</v>
      </c>
      <c r="S201" s="82"/>
      <c r="T201" s="82" t="s">
        <v>1323</v>
      </c>
      <c r="U201" s="82" t="s">
        <v>1322</v>
      </c>
      <c r="V201" s="84">
        <v>40.14</v>
      </c>
      <c r="W201" s="84">
        <v>-120.58</v>
      </c>
      <c r="Y201" s="85" t="s">
        <v>1899</v>
      </c>
      <c r="Z201" s="66" t="s">
        <v>2204</v>
      </c>
      <c r="AA201" s="83" t="s">
        <v>49</v>
      </c>
      <c r="AB201" s="82" t="s">
        <v>238</v>
      </c>
      <c r="AC201" s="82" t="s">
        <v>136</v>
      </c>
      <c r="AD201" s="82"/>
      <c r="AE201" s="82" t="s">
        <v>1333</v>
      </c>
      <c r="AF201" s="96" t="s">
        <v>107</v>
      </c>
      <c r="AG201" s="84" t="s">
        <v>91</v>
      </c>
      <c r="AH201" s="82" t="s">
        <v>106</v>
      </c>
      <c r="AI201" s="82" t="s">
        <v>272</v>
      </c>
      <c r="AJ201" s="86">
        <v>1</v>
      </c>
      <c r="AK201" s="86">
        <v>1</v>
      </c>
      <c r="AL201" s="86">
        <v>1</v>
      </c>
      <c r="AM201" s="84" t="s">
        <v>64</v>
      </c>
      <c r="AN201" s="84" t="s">
        <v>64</v>
      </c>
      <c r="AO201" s="84" t="s">
        <v>64</v>
      </c>
      <c r="AP201" s="68" t="s">
        <v>64</v>
      </c>
      <c r="AQ201" s="82" t="s">
        <v>94</v>
      </c>
      <c r="AR201" s="115">
        <v>2</v>
      </c>
      <c r="AS201" s="86">
        <v>5</v>
      </c>
      <c r="AT201" s="86"/>
      <c r="AU201" s="90">
        <v>5</v>
      </c>
      <c r="AV201" s="88">
        <v>0.2</v>
      </c>
      <c r="AW201" s="82" t="s">
        <v>1334</v>
      </c>
      <c r="AX201" s="82" t="s">
        <v>80</v>
      </c>
      <c r="AY201" s="115">
        <v>1</v>
      </c>
      <c r="AZ201" s="115">
        <v>2</v>
      </c>
      <c r="BA201" s="86">
        <v>5</v>
      </c>
      <c r="BB201" s="86"/>
      <c r="BC201" s="82"/>
      <c r="BD201" s="83" t="s">
        <v>122</v>
      </c>
      <c r="BE201" s="82" t="s">
        <v>157</v>
      </c>
      <c r="BF201" s="149" t="s">
        <v>110</v>
      </c>
      <c r="BG201" s="163" t="s">
        <v>21</v>
      </c>
      <c r="BH201" s="84" t="s">
        <v>22</v>
      </c>
      <c r="BI201" s="84" t="s">
        <v>1325</v>
      </c>
      <c r="BJ201" s="89">
        <f t="shared" si="204"/>
        <v>5</v>
      </c>
      <c r="BK201" s="84">
        <v>60</v>
      </c>
      <c r="BL201" s="84">
        <v>60</v>
      </c>
      <c r="BM201" s="88">
        <v>5</v>
      </c>
      <c r="BN201" s="82" t="s">
        <v>379</v>
      </c>
      <c r="BO201" s="190" t="s">
        <v>542</v>
      </c>
      <c r="BP201" s="142" t="s">
        <v>64</v>
      </c>
      <c r="BQ201" s="82" t="s">
        <v>578</v>
      </c>
      <c r="BR201" s="138" t="s">
        <v>1782</v>
      </c>
      <c r="BS201" s="138" t="s">
        <v>388</v>
      </c>
      <c r="BT201" s="82" t="s">
        <v>572</v>
      </c>
      <c r="BU201" s="90">
        <v>0.371</v>
      </c>
      <c r="BV201" s="90">
        <v>0.376</v>
      </c>
      <c r="BW201" s="90">
        <v>0.376</v>
      </c>
      <c r="BX201" s="86">
        <v>2</v>
      </c>
      <c r="BY201" s="86">
        <v>2</v>
      </c>
      <c r="BZ201" s="82" t="s">
        <v>1327</v>
      </c>
      <c r="CA201" s="82" t="s">
        <v>1326</v>
      </c>
      <c r="CB201" s="82" t="s">
        <v>80</v>
      </c>
      <c r="CC201" s="90">
        <v>0.35299999999999998</v>
      </c>
      <c r="CD201" s="90">
        <v>0.30299999999999999</v>
      </c>
      <c r="CE201" s="90">
        <v>0.30299999999999999</v>
      </c>
      <c r="CF201" s="86">
        <v>2</v>
      </c>
      <c r="CG201" s="86">
        <v>2</v>
      </c>
      <c r="CH201" s="82" t="s">
        <v>1327</v>
      </c>
      <c r="CI201" s="82" t="s">
        <v>1326</v>
      </c>
      <c r="CJ201" s="82"/>
      <c r="CK201" s="86"/>
      <c r="CL201" s="86"/>
      <c r="CM201" s="86"/>
      <c r="CN201" s="86"/>
      <c r="CO201" s="86"/>
      <c r="CP201" s="82"/>
      <c r="CQ201" s="82"/>
      <c r="CR201" s="82"/>
      <c r="CS201" s="86"/>
      <c r="CT201" s="86"/>
      <c r="CU201" s="86"/>
      <c r="CV201" s="86"/>
      <c r="CW201" s="86"/>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6"/>
      <c r="DZ201" s="86"/>
      <c r="EA201" s="86"/>
      <c r="EB201" s="86"/>
      <c r="EC201" s="86"/>
      <c r="ED201" s="82"/>
      <c r="EE201" s="82"/>
      <c r="EF201" s="82"/>
      <c r="EG201" s="86"/>
      <c r="EH201" s="86"/>
      <c r="EI201" s="86"/>
      <c r="EJ201" s="86"/>
      <c r="EK201" s="86"/>
      <c r="EL201" s="82"/>
      <c r="EM201" s="82"/>
      <c r="EN201" s="86">
        <f>BU201</f>
        <v>0.371</v>
      </c>
      <c r="EO201" s="90">
        <f t="shared" si="207"/>
        <v>0.376</v>
      </c>
      <c r="EP201" s="86">
        <f t="shared" si="207"/>
        <v>2</v>
      </c>
      <c r="EQ201" s="86">
        <f t="shared" si="207"/>
        <v>2</v>
      </c>
      <c r="ER201" s="86">
        <f>CC201</f>
        <v>0.35299999999999998</v>
      </c>
      <c r="ES201" s="90">
        <f t="shared" si="208"/>
        <v>0.30299999999999999</v>
      </c>
      <c r="ET201" s="86">
        <f t="shared" si="208"/>
        <v>2</v>
      </c>
      <c r="EU201" s="86">
        <f t="shared" si="208"/>
        <v>2</v>
      </c>
      <c r="EV201" s="86">
        <f t="shared" si="196"/>
        <v>0.34145643938868686</v>
      </c>
      <c r="EW201" s="86">
        <f t="shared" si="197"/>
        <v>5.2715362557594785E-2</v>
      </c>
      <c r="EX201" s="86">
        <f t="shared" si="198"/>
        <v>1.0003473636811973</v>
      </c>
      <c r="EY201" s="86">
        <f t="shared" si="199"/>
        <v>0.5714285714285714</v>
      </c>
      <c r="EZ201" s="83">
        <f t="shared" si="200"/>
        <v>3.0123064318625589E-2</v>
      </c>
      <c r="FA201" s="83">
        <f t="shared" si="201"/>
        <v>0.32664403712039092</v>
      </c>
      <c r="FB201" s="83">
        <f t="shared" si="202"/>
        <v>4</v>
      </c>
      <c r="FC201" s="82" t="s">
        <v>125</v>
      </c>
    </row>
    <row r="202" spans="1:160" s="84" customFormat="1" ht="17.100000000000001" customHeight="1">
      <c r="A202" s="78" t="s">
        <v>1849</v>
      </c>
      <c r="B202" s="91" t="s">
        <v>1434</v>
      </c>
      <c r="C202" s="80" t="str">
        <f t="shared" si="203"/>
        <v>Strahan, R. T., Stoddard, M. T., Springer, J. D., &amp; Huffman, D. W.  2015.  Increasing weight of evidence that thinning and burning treatments help restore understory plant communities in ponderosa pine forests. Forest Ecology and Management. 353: 208-220.</v>
      </c>
      <c r="D202" s="91" t="s">
        <v>1518</v>
      </c>
      <c r="E202" s="91">
        <v>2015</v>
      </c>
      <c r="F202" s="91" t="s">
        <v>1552</v>
      </c>
      <c r="G202" s="91" t="s">
        <v>20</v>
      </c>
      <c r="H202" s="91">
        <v>353</v>
      </c>
      <c r="I202" s="91" t="s">
        <v>1102</v>
      </c>
      <c r="J202" s="81"/>
      <c r="K202" s="92" t="s">
        <v>1103</v>
      </c>
      <c r="L202" s="84" t="s">
        <v>18</v>
      </c>
      <c r="M202" s="93" t="s">
        <v>1084</v>
      </c>
      <c r="N202" s="84" t="s">
        <v>389</v>
      </c>
      <c r="P202" s="91" t="s">
        <v>16</v>
      </c>
      <c r="Q202" s="91" t="s">
        <v>61</v>
      </c>
      <c r="R202" s="91" t="s">
        <v>1104</v>
      </c>
      <c r="S202" s="91" t="s">
        <v>1105</v>
      </c>
      <c r="T202" s="91" t="s">
        <v>1445</v>
      </c>
      <c r="U202" s="91" t="s">
        <v>1446</v>
      </c>
      <c r="V202" s="91">
        <v>34.17</v>
      </c>
      <c r="W202" s="91">
        <v>-109.63</v>
      </c>
      <c r="X202" s="91" t="s">
        <v>1106</v>
      </c>
      <c r="Y202" s="104" t="s">
        <v>1990</v>
      </c>
      <c r="Z202" s="66" t="s">
        <v>2205</v>
      </c>
      <c r="AA202" s="95" t="s">
        <v>49</v>
      </c>
      <c r="AB202" s="81" t="s">
        <v>64</v>
      </c>
      <c r="AC202" s="84" t="s">
        <v>235</v>
      </c>
      <c r="AF202" s="84" t="s">
        <v>86</v>
      </c>
      <c r="AG202" s="84" t="s">
        <v>91</v>
      </c>
      <c r="AH202" s="84" t="s">
        <v>106</v>
      </c>
      <c r="AI202" s="84" t="s">
        <v>93</v>
      </c>
      <c r="AJ202" s="86">
        <v>4</v>
      </c>
      <c r="AK202" s="86">
        <v>1</v>
      </c>
      <c r="AL202" s="86">
        <v>1</v>
      </c>
      <c r="AM202" s="84" t="s">
        <v>1107</v>
      </c>
      <c r="AN202" s="84" t="s">
        <v>937</v>
      </c>
      <c r="AO202" s="84" t="s">
        <v>524</v>
      </c>
      <c r="AP202" s="68" t="s">
        <v>2228</v>
      </c>
      <c r="AQ202" s="84" t="s">
        <v>88</v>
      </c>
      <c r="AR202" s="86">
        <v>1</v>
      </c>
      <c r="AS202" s="87" t="s">
        <v>275</v>
      </c>
      <c r="AT202" s="86"/>
      <c r="AU202" s="87"/>
      <c r="AV202" s="88">
        <v>0.21052631578947367</v>
      </c>
      <c r="AX202" s="84" t="s">
        <v>80</v>
      </c>
      <c r="AY202" s="86">
        <v>4</v>
      </c>
      <c r="AZ202" s="86">
        <v>1</v>
      </c>
      <c r="BA202" s="87" t="s">
        <v>275</v>
      </c>
      <c r="BB202" s="86"/>
      <c r="BD202" s="93" t="s">
        <v>124</v>
      </c>
      <c r="BE202" s="84" t="s">
        <v>182</v>
      </c>
      <c r="BF202" s="93" t="s">
        <v>110</v>
      </c>
      <c r="BG202" s="84" t="s">
        <v>21</v>
      </c>
      <c r="BH202" s="84" t="s">
        <v>22</v>
      </c>
      <c r="BI202" s="84" t="s">
        <v>1095</v>
      </c>
      <c r="BJ202" s="89">
        <f t="shared" si="204"/>
        <v>4.75</v>
      </c>
      <c r="BK202" s="84">
        <v>57</v>
      </c>
      <c r="BL202" s="84">
        <v>57</v>
      </c>
      <c r="BM202" s="88">
        <v>4.75</v>
      </c>
      <c r="BN202" s="84" t="s">
        <v>379</v>
      </c>
      <c r="BO202" s="84" t="s">
        <v>693</v>
      </c>
      <c r="BP202" s="84" t="s">
        <v>64</v>
      </c>
      <c r="BR202" s="84" t="s">
        <v>1108</v>
      </c>
      <c r="BS202" s="84" t="s">
        <v>2183</v>
      </c>
      <c r="BT202" s="84" t="s">
        <v>843</v>
      </c>
      <c r="BU202" s="86"/>
      <c r="BV202" s="86"/>
      <c r="BW202" s="90"/>
      <c r="BX202" s="86"/>
      <c r="BY202" s="86"/>
      <c r="CC202" s="86"/>
      <c r="CD202" s="86"/>
      <c r="CE202" s="90"/>
      <c r="CF202" s="86"/>
      <c r="CG202" s="86"/>
      <c r="CK202" s="86"/>
      <c r="CL202" s="86"/>
      <c r="CM202" s="86"/>
      <c r="CN202" s="86"/>
      <c r="CO202" s="86"/>
      <c r="CR202" s="84" t="s">
        <v>572</v>
      </c>
      <c r="CS202" s="86">
        <v>24.7</v>
      </c>
      <c r="CT202" s="86">
        <v>1.5</v>
      </c>
      <c r="CU202" s="86">
        <v>1.5</v>
      </c>
      <c r="CV202" s="86">
        <v>4</v>
      </c>
      <c r="CW202" s="86">
        <v>4</v>
      </c>
      <c r="CX202" s="84" t="s">
        <v>40</v>
      </c>
      <c r="CY202" s="84" t="s">
        <v>1361</v>
      </c>
      <c r="CZ202" s="84" t="s">
        <v>80</v>
      </c>
      <c r="DA202" s="82">
        <v>22.8</v>
      </c>
      <c r="DB202" s="82">
        <v>1.8</v>
      </c>
      <c r="DC202" s="82">
        <v>1.8</v>
      </c>
      <c r="DD202" s="82">
        <v>4</v>
      </c>
      <c r="DE202" s="82">
        <v>4</v>
      </c>
      <c r="DF202" s="84" t="s">
        <v>40</v>
      </c>
      <c r="DG202" s="84" t="s">
        <v>1361</v>
      </c>
      <c r="DH202" s="84" t="s">
        <v>572</v>
      </c>
      <c r="DI202" s="82">
        <v>37.9</v>
      </c>
      <c r="DJ202" s="82">
        <v>2.6</v>
      </c>
      <c r="DK202" s="82">
        <v>2.6</v>
      </c>
      <c r="DL202" s="82">
        <v>4</v>
      </c>
      <c r="DM202" s="82">
        <v>4</v>
      </c>
      <c r="DN202" s="82" t="s">
        <v>40</v>
      </c>
      <c r="DO202" s="84" t="s">
        <v>1613</v>
      </c>
      <c r="DP202" s="84" t="s">
        <v>80</v>
      </c>
      <c r="DQ202" s="82">
        <v>34.200000000000003</v>
      </c>
      <c r="DR202" s="82">
        <v>3.3</v>
      </c>
      <c r="DS202" s="82">
        <v>3.3</v>
      </c>
      <c r="DT202" s="82">
        <v>4</v>
      </c>
      <c r="DU202" s="82">
        <v>4</v>
      </c>
      <c r="DV202" s="84" t="s">
        <v>40</v>
      </c>
      <c r="DW202" s="84" t="s">
        <v>1613</v>
      </c>
      <c r="DX202" s="84" t="s">
        <v>1747</v>
      </c>
      <c r="DY202" s="86">
        <f>DI202-CS202</f>
        <v>13.2</v>
      </c>
      <c r="DZ202" s="86"/>
      <c r="EA202" s="86">
        <f>SQRT((CU202^2)+(DK202^2))</f>
        <v>3.0016662039607271</v>
      </c>
      <c r="EB202" s="86">
        <v>4</v>
      </c>
      <c r="EC202" s="86">
        <v>4</v>
      </c>
      <c r="ED202" s="84" t="s">
        <v>1743</v>
      </c>
      <c r="EE202" s="84" t="s">
        <v>1744</v>
      </c>
      <c r="EF202" s="84" t="s">
        <v>1746</v>
      </c>
      <c r="EG202" s="86">
        <f>DQ202-DA202</f>
        <v>11.400000000000002</v>
      </c>
      <c r="EH202" s="86"/>
      <c r="EI202" s="86">
        <f>SQRT((DS202^2)+(DC202^2))</f>
        <v>3.7589892258425004</v>
      </c>
      <c r="EJ202" s="86">
        <v>4</v>
      </c>
      <c r="EK202" s="86">
        <v>4</v>
      </c>
      <c r="EL202" s="84" t="s">
        <v>1743</v>
      </c>
      <c r="EM202" s="84" t="s">
        <v>1745</v>
      </c>
      <c r="EN202" s="86">
        <f>DY202</f>
        <v>13.2</v>
      </c>
      <c r="EO202" s="86">
        <f t="shared" ref="EO202:EQ204" si="209">EA202</f>
        <v>3.0016662039607271</v>
      </c>
      <c r="EP202" s="86">
        <f t="shared" si="209"/>
        <v>4</v>
      </c>
      <c r="EQ202" s="86">
        <f t="shared" si="209"/>
        <v>4</v>
      </c>
      <c r="ER202" s="86">
        <f>EG202</f>
        <v>11.400000000000002</v>
      </c>
      <c r="ES202" s="86">
        <f t="shared" ref="ES202:EU204" si="210">EI202</f>
        <v>3.7589892258425004</v>
      </c>
      <c r="ET202" s="86">
        <f t="shared" si="210"/>
        <v>4</v>
      </c>
      <c r="EU202" s="86">
        <f t="shared" si="210"/>
        <v>4</v>
      </c>
      <c r="EV202" s="86">
        <f t="shared" si="196"/>
        <v>3.4014702703389896</v>
      </c>
      <c r="EW202" s="86">
        <f t="shared" si="197"/>
        <v>0.52918292883406848</v>
      </c>
      <c r="EX202" s="86">
        <f t="shared" si="198"/>
        <v>0.51750216076058764</v>
      </c>
      <c r="EY202" s="86">
        <f t="shared" si="199"/>
        <v>0.86956521739130432</v>
      </c>
      <c r="EZ202" s="83">
        <f t="shared" si="200"/>
        <v>0.4601590685513639</v>
      </c>
      <c r="FA202" s="83">
        <f t="shared" si="201"/>
        <v>0.39130598167152186</v>
      </c>
      <c r="FB202" s="83">
        <f t="shared" si="202"/>
        <v>8</v>
      </c>
      <c r="FC202" s="84" t="s">
        <v>385</v>
      </c>
    </row>
    <row r="203" spans="1:160" s="84" customFormat="1" ht="17.100000000000001" customHeight="1">
      <c r="A203" s="78" t="s">
        <v>1849</v>
      </c>
      <c r="B203" s="91" t="s">
        <v>1434</v>
      </c>
      <c r="C203" s="80" t="str">
        <f t="shared" si="203"/>
        <v>Strahan, R. T., Stoddard, M. T., Springer, J. D., &amp; Huffman, D. W.  2015.  Increasing weight of evidence that thinning and burning treatments help restore understory plant communities in ponderosa pine forests. Forest Ecology and Management. 353: 208-220.</v>
      </c>
      <c r="D203" s="91" t="s">
        <v>1518</v>
      </c>
      <c r="E203" s="91">
        <v>2015</v>
      </c>
      <c r="F203" s="91" t="s">
        <v>1552</v>
      </c>
      <c r="G203" s="91" t="s">
        <v>20</v>
      </c>
      <c r="H203" s="91">
        <v>353</v>
      </c>
      <c r="I203" s="91" t="s">
        <v>1102</v>
      </c>
      <c r="J203" s="81"/>
      <c r="K203" s="92" t="s">
        <v>1103</v>
      </c>
      <c r="L203" s="84" t="s">
        <v>18</v>
      </c>
      <c r="M203" s="93" t="s">
        <v>1084</v>
      </c>
      <c r="N203" s="84" t="s">
        <v>389</v>
      </c>
      <c r="P203" s="91" t="s">
        <v>16</v>
      </c>
      <c r="Q203" s="91" t="s">
        <v>61</v>
      </c>
      <c r="R203" s="91" t="s">
        <v>1104</v>
      </c>
      <c r="S203" s="91" t="s">
        <v>1105</v>
      </c>
      <c r="T203" s="91" t="s">
        <v>1445</v>
      </c>
      <c r="U203" s="196" t="s">
        <v>1446</v>
      </c>
      <c r="V203" s="91">
        <v>34.17</v>
      </c>
      <c r="W203" s="91">
        <v>-109.63</v>
      </c>
      <c r="X203" s="91" t="s">
        <v>1106</v>
      </c>
      <c r="Y203" s="104" t="s">
        <v>1990</v>
      </c>
      <c r="Z203" s="66" t="s">
        <v>2205</v>
      </c>
      <c r="AA203" s="95" t="s">
        <v>49</v>
      </c>
      <c r="AB203" s="81" t="s">
        <v>64</v>
      </c>
      <c r="AC203" s="84" t="s">
        <v>235</v>
      </c>
      <c r="AF203" s="84" t="s">
        <v>86</v>
      </c>
      <c r="AG203" s="84" t="s">
        <v>91</v>
      </c>
      <c r="AH203" s="84" t="s">
        <v>106</v>
      </c>
      <c r="AI203" s="84" t="s">
        <v>93</v>
      </c>
      <c r="AJ203" s="86">
        <v>4</v>
      </c>
      <c r="AK203" s="86">
        <v>1</v>
      </c>
      <c r="AL203" s="86">
        <v>1</v>
      </c>
      <c r="AM203" s="84" t="s">
        <v>1107</v>
      </c>
      <c r="AN203" s="84" t="s">
        <v>937</v>
      </c>
      <c r="AO203" s="84" t="s">
        <v>524</v>
      </c>
      <c r="AP203" s="68" t="s">
        <v>2228</v>
      </c>
      <c r="AQ203" s="84" t="s">
        <v>88</v>
      </c>
      <c r="AR203" s="86">
        <v>1</v>
      </c>
      <c r="AS203" s="87" t="s">
        <v>275</v>
      </c>
      <c r="AT203" s="86"/>
      <c r="AU203" s="87"/>
      <c r="AV203" s="88">
        <v>0.21052631578947367</v>
      </c>
      <c r="AX203" s="84" t="s">
        <v>80</v>
      </c>
      <c r="AY203" s="86">
        <v>4</v>
      </c>
      <c r="AZ203" s="86">
        <v>1</v>
      </c>
      <c r="BA203" s="87" t="s">
        <v>275</v>
      </c>
      <c r="BB203" s="86"/>
      <c r="BD203" s="93" t="s">
        <v>124</v>
      </c>
      <c r="BE203" s="84" t="s">
        <v>182</v>
      </c>
      <c r="BF203" s="93" t="s">
        <v>121</v>
      </c>
      <c r="BG203" s="84" t="s">
        <v>21</v>
      </c>
      <c r="BH203" s="84" t="s">
        <v>22</v>
      </c>
      <c r="BI203" s="84" t="s">
        <v>1095</v>
      </c>
      <c r="BJ203" s="89">
        <f t="shared" si="204"/>
        <v>4.75</v>
      </c>
      <c r="BK203" s="84">
        <v>57</v>
      </c>
      <c r="BL203" s="84">
        <v>57</v>
      </c>
      <c r="BM203" s="88">
        <v>4.75</v>
      </c>
      <c r="BN203" s="84" t="s">
        <v>379</v>
      </c>
      <c r="BO203" s="84" t="s">
        <v>693</v>
      </c>
      <c r="BP203" s="84" t="s">
        <v>64</v>
      </c>
      <c r="BR203" s="82" t="s">
        <v>2145</v>
      </c>
      <c r="BS203" s="82" t="s">
        <v>2145</v>
      </c>
      <c r="BT203" s="84" t="s">
        <v>843</v>
      </c>
      <c r="BU203" s="86"/>
      <c r="BV203" s="86"/>
      <c r="BW203" s="90"/>
      <c r="BX203" s="86"/>
      <c r="BY203" s="86"/>
      <c r="CC203" s="86"/>
      <c r="CD203" s="86"/>
      <c r="CE203" s="90"/>
      <c r="CF203" s="86"/>
      <c r="CG203" s="86"/>
      <c r="CK203" s="86"/>
      <c r="CL203" s="86"/>
      <c r="CM203" s="86"/>
      <c r="CN203" s="86"/>
      <c r="CO203" s="86"/>
      <c r="CR203" s="84" t="s">
        <v>572</v>
      </c>
      <c r="CS203" s="86">
        <v>22.2</v>
      </c>
      <c r="CT203" s="86">
        <v>1.3</v>
      </c>
      <c r="CU203" s="86">
        <v>1.3</v>
      </c>
      <c r="CV203" s="86">
        <v>4</v>
      </c>
      <c r="CW203" s="86">
        <v>4</v>
      </c>
      <c r="CX203" s="84" t="s">
        <v>40</v>
      </c>
      <c r="CY203" s="84" t="s">
        <v>1361</v>
      </c>
      <c r="CZ203" s="84" t="s">
        <v>80</v>
      </c>
      <c r="DA203" s="86">
        <v>21.2</v>
      </c>
      <c r="DB203" s="86">
        <v>1.5</v>
      </c>
      <c r="DC203" s="86">
        <v>1.5</v>
      </c>
      <c r="DD203" s="82">
        <v>4</v>
      </c>
      <c r="DE203" s="82">
        <v>4</v>
      </c>
      <c r="DF203" s="84" t="s">
        <v>40</v>
      </c>
      <c r="DG203" s="84" t="s">
        <v>1361</v>
      </c>
      <c r="DH203" s="84" t="s">
        <v>572</v>
      </c>
      <c r="DI203" s="82">
        <v>35</v>
      </c>
      <c r="DJ203" s="82">
        <v>1.9</v>
      </c>
      <c r="DK203" s="82">
        <v>1.9</v>
      </c>
      <c r="DL203" s="82">
        <v>4</v>
      </c>
      <c r="DM203" s="82">
        <v>4</v>
      </c>
      <c r="DN203" s="82" t="s">
        <v>40</v>
      </c>
      <c r="DO203" s="84" t="s">
        <v>1613</v>
      </c>
      <c r="DP203" s="84" t="s">
        <v>80</v>
      </c>
      <c r="DQ203" s="82">
        <v>32.4</v>
      </c>
      <c r="DR203" s="82">
        <v>2.7</v>
      </c>
      <c r="DS203" s="82">
        <v>2.7</v>
      </c>
      <c r="DT203" s="82">
        <v>4</v>
      </c>
      <c r="DU203" s="82">
        <v>4</v>
      </c>
      <c r="DV203" s="84" t="s">
        <v>40</v>
      </c>
      <c r="DW203" s="84" t="s">
        <v>1613</v>
      </c>
      <c r="DX203" s="84" t="s">
        <v>1747</v>
      </c>
      <c r="DY203" s="86">
        <f>DI203-CS203</f>
        <v>12.8</v>
      </c>
      <c r="DZ203" s="86"/>
      <c r="EA203" s="86">
        <f>SQRT((CU203^2)+(DK203^2))</f>
        <v>2.3021728866442674</v>
      </c>
      <c r="EB203" s="86">
        <v>4</v>
      </c>
      <c r="EC203" s="86">
        <v>4</v>
      </c>
      <c r="ED203" s="84" t="s">
        <v>1743</v>
      </c>
      <c r="EE203" s="84" t="s">
        <v>1744</v>
      </c>
      <c r="EF203" s="84" t="s">
        <v>1746</v>
      </c>
      <c r="EG203" s="86">
        <f>DQ203-DA203</f>
        <v>11.2</v>
      </c>
      <c r="EH203" s="86"/>
      <c r="EI203" s="86">
        <f>SQRT((DS203^2)+(DC203^2))</f>
        <v>3.0886890422961004</v>
      </c>
      <c r="EJ203" s="86">
        <v>4</v>
      </c>
      <c r="EK203" s="86">
        <v>4</v>
      </c>
      <c r="EL203" s="84" t="s">
        <v>1743</v>
      </c>
      <c r="EM203" s="84" t="s">
        <v>1745</v>
      </c>
      <c r="EN203" s="86">
        <f>DY203</f>
        <v>12.8</v>
      </c>
      <c r="EO203" s="86">
        <f t="shared" si="209"/>
        <v>2.3021728866442674</v>
      </c>
      <c r="EP203" s="86">
        <f t="shared" si="209"/>
        <v>4</v>
      </c>
      <c r="EQ203" s="86">
        <f t="shared" si="209"/>
        <v>4</v>
      </c>
      <c r="ER203" s="86">
        <f>EG203</f>
        <v>11.2</v>
      </c>
      <c r="ES203" s="86">
        <f t="shared" si="210"/>
        <v>3.0886890422961004</v>
      </c>
      <c r="ET203" s="86">
        <f t="shared" si="210"/>
        <v>4</v>
      </c>
      <c r="EU203" s="86">
        <f t="shared" si="210"/>
        <v>4</v>
      </c>
      <c r="EV203" s="86">
        <f t="shared" si="196"/>
        <v>2.7239676943752471</v>
      </c>
      <c r="EW203" s="86">
        <f t="shared" si="197"/>
        <v>0.5873784785714824</v>
      </c>
      <c r="EX203" s="86">
        <f t="shared" si="198"/>
        <v>0.52156334231805934</v>
      </c>
      <c r="EY203" s="86">
        <f t="shared" si="199"/>
        <v>0.86956521739130432</v>
      </c>
      <c r="EZ203" s="83">
        <f t="shared" si="200"/>
        <v>0.51076389440998471</v>
      </c>
      <c r="FA203" s="83">
        <f t="shared" si="201"/>
        <v>0.39437681838794658</v>
      </c>
      <c r="FB203" s="83">
        <f t="shared" si="202"/>
        <v>8</v>
      </c>
      <c r="FC203" s="84" t="s">
        <v>385</v>
      </c>
    </row>
    <row r="204" spans="1:160" s="84" customFormat="1" ht="17.100000000000001" customHeight="1">
      <c r="A204" s="83" t="s">
        <v>1849</v>
      </c>
      <c r="B204" s="96" t="s">
        <v>1434</v>
      </c>
      <c r="C204" s="80" t="str">
        <f t="shared" si="203"/>
        <v>Strahan, R. T., Stoddard, M. T., Springer, J. D., &amp; Huffman, D. W.  2015.  Increasing weight of evidence that thinning and burning treatments help restore understory plant communities in ponderosa pine forests. Forest Ecology and Management. 353: 208-220.</v>
      </c>
      <c r="D204" s="96" t="s">
        <v>1518</v>
      </c>
      <c r="E204" s="96">
        <v>2015</v>
      </c>
      <c r="F204" s="96" t="s">
        <v>1552</v>
      </c>
      <c r="G204" s="96" t="s">
        <v>20</v>
      </c>
      <c r="H204" s="96">
        <v>353</v>
      </c>
      <c r="I204" s="96" t="s">
        <v>1102</v>
      </c>
      <c r="J204" s="79"/>
      <c r="K204" s="141" t="s">
        <v>1103</v>
      </c>
      <c r="L204" s="82" t="s">
        <v>18</v>
      </c>
      <c r="M204" s="83" t="s">
        <v>1084</v>
      </c>
      <c r="N204" s="82" t="s">
        <v>389</v>
      </c>
      <c r="O204" s="82"/>
      <c r="P204" s="96" t="s">
        <v>16</v>
      </c>
      <c r="Q204" s="96" t="s">
        <v>61</v>
      </c>
      <c r="R204" s="96" t="s">
        <v>1104</v>
      </c>
      <c r="S204" s="96" t="s">
        <v>1105</v>
      </c>
      <c r="T204" s="96" t="s">
        <v>1445</v>
      </c>
      <c r="U204" s="96" t="s">
        <v>1446</v>
      </c>
      <c r="V204" s="145">
        <v>34.17</v>
      </c>
      <c r="W204" s="145">
        <v>-109.63</v>
      </c>
      <c r="X204" s="96" t="s">
        <v>1106</v>
      </c>
      <c r="Y204" s="145" t="s">
        <v>1990</v>
      </c>
      <c r="Z204" s="66" t="s">
        <v>2205</v>
      </c>
      <c r="AA204" s="97" t="s">
        <v>49</v>
      </c>
      <c r="AB204" s="79" t="s">
        <v>64</v>
      </c>
      <c r="AC204" s="82" t="s">
        <v>235</v>
      </c>
      <c r="AD204" s="82"/>
      <c r="AE204" s="82"/>
      <c r="AF204" s="82" t="s">
        <v>86</v>
      </c>
      <c r="AG204" s="82" t="s">
        <v>91</v>
      </c>
      <c r="AH204" s="82" t="s">
        <v>106</v>
      </c>
      <c r="AI204" s="82" t="s">
        <v>93</v>
      </c>
      <c r="AJ204" s="82">
        <v>4</v>
      </c>
      <c r="AK204" s="82">
        <v>1</v>
      </c>
      <c r="AL204" s="82">
        <v>1</v>
      </c>
      <c r="AM204" s="82" t="s">
        <v>1107</v>
      </c>
      <c r="AN204" s="82" t="s">
        <v>937</v>
      </c>
      <c r="AO204" s="82" t="s">
        <v>524</v>
      </c>
      <c r="AP204" s="68" t="s">
        <v>2228</v>
      </c>
      <c r="AQ204" s="82" t="s">
        <v>88</v>
      </c>
      <c r="AR204" s="82">
        <v>1</v>
      </c>
      <c r="AS204" s="167" t="s">
        <v>275</v>
      </c>
      <c r="AT204" s="82"/>
      <c r="AU204" s="167"/>
      <c r="AV204" s="197">
        <v>0.21052631578947367</v>
      </c>
      <c r="AW204" s="82"/>
      <c r="AX204" s="82" t="s">
        <v>80</v>
      </c>
      <c r="AY204" s="82">
        <v>4</v>
      </c>
      <c r="AZ204" s="82">
        <v>1</v>
      </c>
      <c r="BA204" s="167" t="s">
        <v>275</v>
      </c>
      <c r="BB204" s="82"/>
      <c r="BC204" s="82"/>
      <c r="BD204" s="83" t="s">
        <v>124</v>
      </c>
      <c r="BE204" s="82" t="s">
        <v>182</v>
      </c>
      <c r="BF204" s="83" t="s">
        <v>2156</v>
      </c>
      <c r="BG204" s="82" t="s">
        <v>21</v>
      </c>
      <c r="BH204" s="82" t="s">
        <v>22</v>
      </c>
      <c r="BI204" s="82" t="s">
        <v>1095</v>
      </c>
      <c r="BJ204" s="89">
        <f t="shared" si="204"/>
        <v>4.75</v>
      </c>
      <c r="BK204" s="82">
        <v>57</v>
      </c>
      <c r="BL204" s="82">
        <v>57</v>
      </c>
      <c r="BM204" s="197">
        <v>4.75</v>
      </c>
      <c r="BN204" s="82" t="s">
        <v>379</v>
      </c>
      <c r="BO204" s="82" t="s">
        <v>693</v>
      </c>
      <c r="BP204" s="82" t="s">
        <v>64</v>
      </c>
      <c r="BQ204" s="82"/>
      <c r="BR204" s="82" t="s">
        <v>2148</v>
      </c>
      <c r="BS204" s="82" t="s">
        <v>2148</v>
      </c>
      <c r="BT204" s="82" t="s">
        <v>843</v>
      </c>
      <c r="BU204" s="82"/>
      <c r="BV204" s="82"/>
      <c r="BW204" s="89"/>
      <c r="BX204" s="82"/>
      <c r="BY204" s="82"/>
      <c r="BZ204" s="82"/>
      <c r="CA204" s="82"/>
      <c r="CB204" s="82"/>
      <c r="CC204" s="82"/>
      <c r="CD204" s="82"/>
      <c r="CE204" s="89"/>
      <c r="CF204" s="82"/>
      <c r="CG204" s="82"/>
      <c r="CH204" s="82"/>
      <c r="CI204" s="82"/>
      <c r="CJ204" s="82"/>
      <c r="CK204" s="82"/>
      <c r="CL204" s="82"/>
      <c r="CM204" s="82"/>
      <c r="CN204" s="82"/>
      <c r="CO204" s="82"/>
      <c r="CP204" s="82"/>
      <c r="CQ204" s="82"/>
      <c r="CR204" s="82" t="s">
        <v>572</v>
      </c>
      <c r="CS204" s="82">
        <v>1.01</v>
      </c>
      <c r="CT204" s="82">
        <v>1.2</v>
      </c>
      <c r="CU204" s="82">
        <v>1.2</v>
      </c>
      <c r="CV204" s="82">
        <v>4</v>
      </c>
      <c r="CW204" s="82">
        <v>4</v>
      </c>
      <c r="CX204" s="82" t="s">
        <v>40</v>
      </c>
      <c r="CY204" s="82" t="s">
        <v>1361</v>
      </c>
      <c r="CZ204" s="82" t="s">
        <v>80</v>
      </c>
      <c r="DA204" s="82">
        <v>0.76</v>
      </c>
      <c r="DB204" s="82">
        <v>0.3</v>
      </c>
      <c r="DC204" s="82">
        <v>0.3</v>
      </c>
      <c r="DD204" s="82">
        <v>4</v>
      </c>
      <c r="DE204" s="82">
        <v>4</v>
      </c>
      <c r="DF204" s="82" t="s">
        <v>40</v>
      </c>
      <c r="DG204" s="82" t="s">
        <v>1361</v>
      </c>
      <c r="DH204" s="82" t="s">
        <v>572</v>
      </c>
      <c r="DI204" s="82">
        <v>2.0299999999999998</v>
      </c>
      <c r="DJ204" s="82">
        <v>0.4</v>
      </c>
      <c r="DK204" s="82">
        <v>0.4</v>
      </c>
      <c r="DL204" s="82">
        <v>4</v>
      </c>
      <c r="DM204" s="82">
        <v>4</v>
      </c>
      <c r="DN204" s="82" t="s">
        <v>40</v>
      </c>
      <c r="DO204" s="82" t="s">
        <v>1613</v>
      </c>
      <c r="DP204" s="82" t="s">
        <v>80</v>
      </c>
      <c r="DQ204" s="82">
        <v>1.2</v>
      </c>
      <c r="DR204" s="82">
        <v>0.3</v>
      </c>
      <c r="DS204" s="82">
        <v>0.3</v>
      </c>
      <c r="DT204" s="82">
        <v>4</v>
      </c>
      <c r="DU204" s="82">
        <v>4</v>
      </c>
      <c r="DV204" s="82" t="s">
        <v>40</v>
      </c>
      <c r="DW204" s="82" t="s">
        <v>1613</v>
      </c>
      <c r="DX204" s="82" t="s">
        <v>1747</v>
      </c>
      <c r="DY204" s="82">
        <f>DI204-CS204</f>
        <v>1.0199999999999998</v>
      </c>
      <c r="DZ204" s="82"/>
      <c r="EA204" s="82">
        <f>SQRT((CU204^2)+(DK204^2))</f>
        <v>1.2649110640673518</v>
      </c>
      <c r="EB204" s="82">
        <v>4</v>
      </c>
      <c r="EC204" s="82">
        <v>4</v>
      </c>
      <c r="ED204" s="82" t="s">
        <v>1743</v>
      </c>
      <c r="EE204" s="82" t="s">
        <v>1744</v>
      </c>
      <c r="EF204" s="82" t="s">
        <v>1746</v>
      </c>
      <c r="EG204" s="82">
        <f>DQ204-DA204</f>
        <v>0.43999999999999995</v>
      </c>
      <c r="EH204" s="82"/>
      <c r="EI204" s="82">
        <f>SQRT((DS204^2)+(DC204^2))</f>
        <v>0.42426406871192851</v>
      </c>
      <c r="EJ204" s="82">
        <v>4</v>
      </c>
      <c r="EK204" s="82">
        <v>4</v>
      </c>
      <c r="EL204" s="82" t="s">
        <v>1743</v>
      </c>
      <c r="EM204" s="82" t="s">
        <v>1745</v>
      </c>
      <c r="EN204" s="82">
        <f>DY204</f>
        <v>1.0199999999999998</v>
      </c>
      <c r="EO204" s="82">
        <f t="shared" si="209"/>
        <v>1.2649110640673518</v>
      </c>
      <c r="EP204" s="82">
        <f t="shared" si="209"/>
        <v>4</v>
      </c>
      <c r="EQ204" s="82">
        <f t="shared" si="209"/>
        <v>4</v>
      </c>
      <c r="ER204" s="82">
        <f>EG204</f>
        <v>0.43999999999999995</v>
      </c>
      <c r="ES204" s="82">
        <f t="shared" si="210"/>
        <v>0.42426406871192851</v>
      </c>
      <c r="ET204" s="82">
        <f t="shared" si="210"/>
        <v>4</v>
      </c>
      <c r="EU204" s="82">
        <f t="shared" si="210"/>
        <v>4</v>
      </c>
      <c r="EV204" s="82">
        <f t="shared" si="196"/>
        <v>0.94339811320566047</v>
      </c>
      <c r="EW204" s="82">
        <f t="shared" si="197"/>
        <v>0.61479877040368858</v>
      </c>
      <c r="EX204" s="82">
        <f t="shared" si="198"/>
        <v>0.52362359550561799</v>
      </c>
      <c r="EY204" s="82">
        <f t="shared" si="199"/>
        <v>0.86956521739130432</v>
      </c>
      <c r="EZ204" s="83">
        <f t="shared" si="200"/>
        <v>0.53460762643799009</v>
      </c>
      <c r="FA204" s="83">
        <f t="shared" si="201"/>
        <v>0.39593466578874709</v>
      </c>
      <c r="FB204" s="83">
        <f t="shared" si="202"/>
        <v>8</v>
      </c>
      <c r="FC204" s="82" t="s">
        <v>385</v>
      </c>
    </row>
    <row r="205" spans="1:160" s="82" customFormat="1" ht="17.100000000000001" customHeight="1">
      <c r="A205" s="78" t="s">
        <v>1811</v>
      </c>
      <c r="B205" s="81" t="s">
        <v>300</v>
      </c>
      <c r="C205" s="80" t="str">
        <f t="shared" si="203"/>
        <v>Taft, J. B., Schwartz, M. W., &amp; Philippe, L. R.  1995.  Vegetation ecology of flatwoods on the Illinoian till plain. Journal of Vegetation Science. 6 (5): 647-666.</v>
      </c>
      <c r="D205" s="81" t="s">
        <v>1481</v>
      </c>
      <c r="E205" s="81">
        <v>1995</v>
      </c>
      <c r="F205" s="81" t="s">
        <v>1539</v>
      </c>
      <c r="G205" s="81" t="s">
        <v>1527</v>
      </c>
      <c r="H205" s="81" t="s">
        <v>711</v>
      </c>
      <c r="I205" s="81" t="s">
        <v>712</v>
      </c>
      <c r="J205" s="81"/>
      <c r="K205" s="84" t="s">
        <v>713</v>
      </c>
      <c r="L205" s="84" t="s">
        <v>101</v>
      </c>
      <c r="M205" s="83" t="s">
        <v>73</v>
      </c>
      <c r="N205" s="84" t="s">
        <v>389</v>
      </c>
      <c r="O205" s="84"/>
      <c r="P205" s="81" t="s">
        <v>16</v>
      </c>
      <c r="Q205" s="84" t="s">
        <v>334</v>
      </c>
      <c r="R205" s="84" t="s">
        <v>714</v>
      </c>
      <c r="S205" s="81"/>
      <c r="T205" s="81" t="s">
        <v>715</v>
      </c>
      <c r="U205" s="81" t="s">
        <v>716</v>
      </c>
      <c r="V205" s="81">
        <v>38.49</v>
      </c>
      <c r="W205" s="81">
        <v>-89.22</v>
      </c>
      <c r="X205" s="81"/>
      <c r="Y205" s="99" t="s">
        <v>1896</v>
      </c>
      <c r="Z205" s="66" t="s">
        <v>2203</v>
      </c>
      <c r="AA205" s="65" t="s">
        <v>555</v>
      </c>
      <c r="AB205" s="84" t="s">
        <v>103</v>
      </c>
      <c r="AC205" s="81" t="s">
        <v>137</v>
      </c>
      <c r="AD205" s="84"/>
      <c r="AE205" s="84"/>
      <c r="AF205" s="84" t="s">
        <v>156</v>
      </c>
      <c r="AG205" s="84" t="s">
        <v>17</v>
      </c>
      <c r="AH205" s="84" t="s">
        <v>106</v>
      </c>
      <c r="AI205" s="84" t="s">
        <v>276</v>
      </c>
      <c r="AJ205" s="86">
        <v>1</v>
      </c>
      <c r="AK205" s="86">
        <v>20</v>
      </c>
      <c r="AL205" s="86">
        <v>20</v>
      </c>
      <c r="AM205" s="84" t="s">
        <v>717</v>
      </c>
      <c r="AN205" s="84" t="s">
        <v>64</v>
      </c>
      <c r="AO205" s="84" t="s">
        <v>64</v>
      </c>
      <c r="AP205" s="68" t="s">
        <v>64</v>
      </c>
      <c r="AQ205" s="84" t="s">
        <v>88</v>
      </c>
      <c r="AR205" s="86">
        <v>10</v>
      </c>
      <c r="AS205" s="86">
        <v>13</v>
      </c>
      <c r="AT205" s="86"/>
      <c r="AU205" s="90">
        <v>20</v>
      </c>
      <c r="AV205" s="88">
        <v>1</v>
      </c>
      <c r="AW205" s="84"/>
      <c r="AX205" s="91" t="s">
        <v>80</v>
      </c>
      <c r="AY205" s="86">
        <v>5</v>
      </c>
      <c r="AZ205" s="86">
        <v>8</v>
      </c>
      <c r="BA205" s="86">
        <v>25</v>
      </c>
      <c r="BB205" s="86"/>
      <c r="BC205" s="84"/>
      <c r="BD205" s="93" t="s">
        <v>124</v>
      </c>
      <c r="BE205" s="84" t="s">
        <v>182</v>
      </c>
      <c r="BF205" s="93" t="s">
        <v>386</v>
      </c>
      <c r="BG205" s="84" t="s">
        <v>21</v>
      </c>
      <c r="BH205" s="84" t="s">
        <v>81</v>
      </c>
      <c r="BI205" s="84" t="s">
        <v>540</v>
      </c>
      <c r="BJ205" s="89">
        <f t="shared" si="204"/>
        <v>20</v>
      </c>
      <c r="BK205" s="84">
        <f>20*12</f>
        <v>240</v>
      </c>
      <c r="BL205" s="111" t="s">
        <v>316</v>
      </c>
      <c r="BM205" s="88">
        <v>0.54166666666666663</v>
      </c>
      <c r="BN205" s="84" t="s">
        <v>379</v>
      </c>
      <c r="BO205" s="84" t="s">
        <v>382</v>
      </c>
      <c r="BP205" s="84" t="s">
        <v>64</v>
      </c>
      <c r="BQ205" s="84"/>
      <c r="BR205" s="81" t="s">
        <v>710</v>
      </c>
      <c r="BS205" s="81" t="s">
        <v>2140</v>
      </c>
      <c r="BT205" s="84" t="s">
        <v>720</v>
      </c>
      <c r="BU205" s="86">
        <v>26.079999999999963</v>
      </c>
      <c r="BV205" s="86">
        <v>2.1531583761460542</v>
      </c>
      <c r="BW205" s="90">
        <v>13.446469749266853</v>
      </c>
      <c r="BX205" s="86">
        <v>10</v>
      </c>
      <c r="BY205" s="86">
        <v>10</v>
      </c>
      <c r="BZ205" s="84" t="s">
        <v>721</v>
      </c>
      <c r="CA205" s="84" t="s">
        <v>1352</v>
      </c>
      <c r="CB205" s="84" t="s">
        <v>80</v>
      </c>
      <c r="CC205" s="86">
        <v>15.3386806925268</v>
      </c>
      <c r="CD205" s="86">
        <v>0.8958446303345855</v>
      </c>
      <c r="CE205" s="90">
        <v>5.5945479212259537</v>
      </c>
      <c r="CF205" s="86">
        <v>39</v>
      </c>
      <c r="CG205" s="86">
        <v>39</v>
      </c>
      <c r="CH205" s="84" t="s">
        <v>1350</v>
      </c>
      <c r="CI205" s="84" t="s">
        <v>1352</v>
      </c>
      <c r="CJ205" s="84"/>
      <c r="CK205" s="86"/>
      <c r="CL205" s="86"/>
      <c r="CM205" s="86"/>
      <c r="CN205" s="86"/>
      <c r="CO205" s="86"/>
      <c r="CP205" s="84"/>
      <c r="CQ205" s="84"/>
      <c r="CR205" s="84"/>
      <c r="CS205" s="86"/>
      <c r="CT205" s="86"/>
      <c r="CU205" s="86"/>
      <c r="CV205" s="86"/>
      <c r="CW205" s="86"/>
      <c r="CX205" s="84"/>
      <c r="CY205" s="84"/>
      <c r="CZ205" s="84"/>
      <c r="DF205" s="84"/>
      <c r="DG205" s="84"/>
      <c r="DH205" s="84"/>
      <c r="DO205" s="84"/>
      <c r="DP205" s="84"/>
      <c r="DV205" s="84"/>
      <c r="DW205" s="84"/>
      <c r="DX205" s="84"/>
      <c r="DY205" s="86"/>
      <c r="DZ205" s="86"/>
      <c r="EA205" s="86"/>
      <c r="EB205" s="86"/>
      <c r="EC205" s="86"/>
      <c r="ED205" s="84"/>
      <c r="EE205" s="84"/>
      <c r="EF205" s="84"/>
      <c r="EG205" s="86"/>
      <c r="EH205" s="86"/>
      <c r="EI205" s="86"/>
      <c r="EJ205" s="86"/>
      <c r="EK205" s="86"/>
      <c r="EL205" s="84"/>
      <c r="EM205" s="84"/>
      <c r="EN205" s="86">
        <f t="shared" ref="EN205:EN221" si="211">BU205</f>
        <v>26.079999999999963</v>
      </c>
      <c r="EO205" s="90">
        <f t="shared" ref="EO205:EO221" si="212">BW205</f>
        <v>13.446469749266853</v>
      </c>
      <c r="EP205" s="86">
        <f t="shared" ref="EP205:EP221" si="213">BX205</f>
        <v>10</v>
      </c>
      <c r="EQ205" s="86">
        <f t="shared" ref="EQ205:EQ221" si="214">BY205</f>
        <v>10</v>
      </c>
      <c r="ER205" s="86">
        <f t="shared" ref="ER205:ER221" si="215">CC205</f>
        <v>15.3386806925268</v>
      </c>
      <c r="ES205" s="90">
        <f t="shared" ref="ES205:ES221" si="216">CE205</f>
        <v>5.5945479212259537</v>
      </c>
      <c r="ET205" s="86">
        <f t="shared" ref="ET205:ET221" si="217">CF205</f>
        <v>39</v>
      </c>
      <c r="EU205" s="86">
        <f t="shared" ref="EU205:EU221" si="218">CG205</f>
        <v>39</v>
      </c>
      <c r="EV205" s="86">
        <f t="shared" si="196"/>
        <v>7.7413351194567177</v>
      </c>
      <c r="EW205" s="86">
        <f t="shared" si="197"/>
        <v>1.3875280092805209</v>
      </c>
      <c r="EX205" s="86">
        <f t="shared" si="198"/>
        <v>0.1452862702995763</v>
      </c>
      <c r="EY205" s="86">
        <f t="shared" si="199"/>
        <v>0.98395721925133695</v>
      </c>
      <c r="EZ205" s="83">
        <f t="shared" si="200"/>
        <v>1.3652682016450046</v>
      </c>
      <c r="FA205" s="83">
        <f t="shared" si="201"/>
        <v>0.14066207118483387</v>
      </c>
      <c r="FB205" s="83">
        <f t="shared" si="202"/>
        <v>49</v>
      </c>
      <c r="FC205" s="84" t="s">
        <v>125</v>
      </c>
    </row>
    <row r="206" spans="1:160" s="82" customFormat="1" ht="17.100000000000001" customHeight="1">
      <c r="A206" s="78" t="s">
        <v>1811</v>
      </c>
      <c r="B206" s="81" t="s">
        <v>300</v>
      </c>
      <c r="C206" s="80" t="str">
        <f t="shared" si="203"/>
        <v>Taft, J. B., Schwartz, M. W., &amp; Philippe, L. R.  1995.  Vegetation ecology of flatwoods on the Illinoian till plain. Journal of Vegetation Science. 6 (5): 647-666.</v>
      </c>
      <c r="D206" s="81" t="s">
        <v>1481</v>
      </c>
      <c r="E206" s="81">
        <v>1995</v>
      </c>
      <c r="F206" s="81" t="s">
        <v>1539</v>
      </c>
      <c r="G206" s="81" t="s">
        <v>1527</v>
      </c>
      <c r="H206" s="81" t="s">
        <v>711</v>
      </c>
      <c r="I206" s="81" t="s">
        <v>712</v>
      </c>
      <c r="J206" s="81"/>
      <c r="K206" s="84" t="s">
        <v>713</v>
      </c>
      <c r="L206" s="84" t="s">
        <v>101</v>
      </c>
      <c r="M206" s="83" t="s">
        <v>73</v>
      </c>
      <c r="N206" s="84" t="s">
        <v>389</v>
      </c>
      <c r="O206" s="84"/>
      <c r="P206" s="81" t="s">
        <v>16</v>
      </c>
      <c r="Q206" s="84" t="s">
        <v>334</v>
      </c>
      <c r="R206" s="84" t="s">
        <v>714</v>
      </c>
      <c r="S206" s="81"/>
      <c r="T206" s="81" t="s">
        <v>715</v>
      </c>
      <c r="U206" s="81" t="s">
        <v>716</v>
      </c>
      <c r="V206" s="81">
        <v>38.49</v>
      </c>
      <c r="W206" s="81">
        <v>-89.22</v>
      </c>
      <c r="X206" s="81"/>
      <c r="Y206" s="99" t="s">
        <v>1896</v>
      </c>
      <c r="Z206" s="66" t="s">
        <v>2203</v>
      </c>
      <c r="AA206" s="65" t="s">
        <v>555</v>
      </c>
      <c r="AB206" s="84" t="s">
        <v>103</v>
      </c>
      <c r="AC206" s="81" t="s">
        <v>137</v>
      </c>
      <c r="AD206" s="84"/>
      <c r="AE206" s="84"/>
      <c r="AF206" s="84" t="s">
        <v>156</v>
      </c>
      <c r="AG206" s="84" t="s">
        <v>17</v>
      </c>
      <c r="AH206" s="84" t="s">
        <v>106</v>
      </c>
      <c r="AI206" s="84" t="s">
        <v>276</v>
      </c>
      <c r="AJ206" s="86">
        <v>1</v>
      </c>
      <c r="AK206" s="86">
        <v>20</v>
      </c>
      <c r="AL206" s="86">
        <v>20</v>
      </c>
      <c r="AM206" s="84" t="s">
        <v>717</v>
      </c>
      <c r="AN206" s="84" t="s">
        <v>64</v>
      </c>
      <c r="AO206" s="84" t="s">
        <v>64</v>
      </c>
      <c r="AP206" s="68" t="s">
        <v>64</v>
      </c>
      <c r="AQ206" s="84" t="s">
        <v>88</v>
      </c>
      <c r="AR206" s="86">
        <v>10</v>
      </c>
      <c r="AS206" s="86" t="s">
        <v>718</v>
      </c>
      <c r="AT206" s="86"/>
      <c r="AU206" s="90">
        <v>20</v>
      </c>
      <c r="AV206" s="88">
        <v>1</v>
      </c>
      <c r="AW206" s="84"/>
      <c r="AX206" s="91" t="s">
        <v>80</v>
      </c>
      <c r="AY206" s="86">
        <v>5</v>
      </c>
      <c r="AZ206" s="86">
        <v>8</v>
      </c>
      <c r="BA206" s="86"/>
      <c r="BB206" s="86"/>
      <c r="BC206" s="84"/>
      <c r="BD206" s="93" t="s">
        <v>122</v>
      </c>
      <c r="BE206" s="84" t="s">
        <v>157</v>
      </c>
      <c r="BF206" s="93" t="s">
        <v>387</v>
      </c>
      <c r="BG206" s="84" t="s">
        <v>21</v>
      </c>
      <c r="BH206" s="84" t="s">
        <v>22</v>
      </c>
      <c r="BI206" s="84" t="s">
        <v>719</v>
      </c>
      <c r="BJ206" s="89">
        <f t="shared" si="204"/>
        <v>20</v>
      </c>
      <c r="BK206" s="84">
        <f>20*12</f>
        <v>240</v>
      </c>
      <c r="BL206" s="111" t="s">
        <v>316</v>
      </c>
      <c r="BM206" s="88">
        <v>0.54166666666666663</v>
      </c>
      <c r="BN206" s="84" t="s">
        <v>379</v>
      </c>
      <c r="BO206" s="84" t="s">
        <v>382</v>
      </c>
      <c r="BP206" s="84" t="s">
        <v>64</v>
      </c>
      <c r="BQ206" s="84" t="s">
        <v>570</v>
      </c>
      <c r="BR206" s="81" t="s">
        <v>1279</v>
      </c>
      <c r="BS206" s="81" t="s">
        <v>2141</v>
      </c>
      <c r="BT206" s="84" t="s">
        <v>720</v>
      </c>
      <c r="BU206" s="101">
        <v>1.37</v>
      </c>
      <c r="BV206" s="101">
        <v>0.14000000000000001</v>
      </c>
      <c r="BW206" s="101">
        <v>0.14000000000000001</v>
      </c>
      <c r="BX206" s="86">
        <v>10</v>
      </c>
      <c r="BY206" s="86">
        <v>10</v>
      </c>
      <c r="BZ206" s="84" t="s">
        <v>680</v>
      </c>
      <c r="CA206" s="84" t="s">
        <v>2105</v>
      </c>
      <c r="CB206" s="84" t="s">
        <v>80</v>
      </c>
      <c r="CC206" s="198">
        <v>2.3009935205183538</v>
      </c>
      <c r="CD206" s="198">
        <v>0.19</v>
      </c>
      <c r="CE206" s="198">
        <v>0.19</v>
      </c>
      <c r="CF206" s="86">
        <v>39</v>
      </c>
      <c r="CG206" s="86">
        <v>39</v>
      </c>
      <c r="CH206" s="84" t="s">
        <v>1351</v>
      </c>
      <c r="CI206" s="84" t="s">
        <v>1352</v>
      </c>
      <c r="CJ206" s="84"/>
      <c r="CK206" s="86"/>
      <c r="CL206" s="86"/>
      <c r="CM206" s="86"/>
      <c r="CN206" s="86"/>
      <c r="CO206" s="86"/>
      <c r="CP206" s="84"/>
      <c r="CQ206" s="84"/>
      <c r="CR206" s="84"/>
      <c r="CS206" s="86"/>
      <c r="CT206" s="86"/>
      <c r="CU206" s="86"/>
      <c r="CV206" s="86"/>
      <c r="CW206" s="86"/>
      <c r="CX206" s="84"/>
      <c r="CY206" s="84"/>
      <c r="CZ206" s="84"/>
      <c r="DF206" s="84"/>
      <c r="DG206" s="84"/>
      <c r="DH206" s="84"/>
      <c r="DO206" s="84"/>
      <c r="DP206" s="84"/>
      <c r="DV206" s="84"/>
      <c r="DW206" s="84"/>
      <c r="DX206" s="84"/>
      <c r="DY206" s="86"/>
      <c r="DZ206" s="86"/>
      <c r="EA206" s="86"/>
      <c r="EB206" s="86"/>
      <c r="EC206" s="86"/>
      <c r="ED206" s="84"/>
      <c r="EE206" s="84"/>
      <c r="EF206" s="84"/>
      <c r="EG206" s="86"/>
      <c r="EH206" s="86"/>
      <c r="EI206" s="86"/>
      <c r="EJ206" s="86"/>
      <c r="EK206" s="86"/>
      <c r="EL206" s="84"/>
      <c r="EM206" s="84"/>
      <c r="EN206" s="86">
        <f t="shared" si="211"/>
        <v>1.37</v>
      </c>
      <c r="EO206" s="90">
        <f t="shared" si="212"/>
        <v>0.14000000000000001</v>
      </c>
      <c r="EP206" s="86">
        <f t="shared" si="213"/>
        <v>10</v>
      </c>
      <c r="EQ206" s="86">
        <f t="shared" si="214"/>
        <v>10</v>
      </c>
      <c r="ER206" s="86">
        <f t="shared" si="215"/>
        <v>2.3009935205183538</v>
      </c>
      <c r="ES206" s="90">
        <f t="shared" si="216"/>
        <v>0.19</v>
      </c>
      <c r="ET206" s="86">
        <f t="shared" si="217"/>
        <v>39</v>
      </c>
      <c r="EU206" s="86">
        <f t="shared" si="218"/>
        <v>39</v>
      </c>
      <c r="EV206" s="86">
        <f t="shared" si="196"/>
        <v>0.18149497384752805</v>
      </c>
      <c r="EW206" s="86">
        <f t="shared" si="197"/>
        <v>-5.1295829343487558</v>
      </c>
      <c r="EX206" s="86">
        <f t="shared" si="198"/>
        <v>0.39413715911410718</v>
      </c>
      <c r="EY206" s="86">
        <f t="shared" si="199"/>
        <v>0.98395721925133695</v>
      </c>
      <c r="EZ206" s="83">
        <f t="shared" si="200"/>
        <v>-5.047290160000915</v>
      </c>
      <c r="FA206" s="83">
        <f t="shared" si="201"/>
        <v>0.38159248645849791</v>
      </c>
      <c r="FB206" s="83">
        <f t="shared" si="202"/>
        <v>49</v>
      </c>
      <c r="FC206" s="84" t="s">
        <v>125</v>
      </c>
      <c r="FD206" s="82">
        <f>EY206^2</f>
        <v>0.96817180931682356</v>
      </c>
    </row>
    <row r="207" spans="1:160" s="82" customFormat="1" ht="17.100000000000001" customHeight="1">
      <c r="A207" s="78" t="s">
        <v>1803</v>
      </c>
      <c r="B207" s="79" t="s">
        <v>196</v>
      </c>
      <c r="C207" s="80" t="str">
        <f t="shared" si="203"/>
        <v>Toivanen, T., &amp; Kotiaho, J. S.  2007.  Mimicking natural disturbances of boreal forests: The effects of controlled burning and creating dead wood on beetle diversity. Biodiversity and Conservation. 16: 3193-3211.</v>
      </c>
      <c r="D207" s="79" t="s">
        <v>1461</v>
      </c>
      <c r="E207" s="84" t="s">
        <v>212</v>
      </c>
      <c r="F207" s="79" t="s">
        <v>197</v>
      </c>
      <c r="G207" s="79" t="s">
        <v>198</v>
      </c>
      <c r="H207" s="81">
        <v>16</v>
      </c>
      <c r="I207" s="81" t="s">
        <v>199</v>
      </c>
      <c r="J207" s="79" t="s">
        <v>1570</v>
      </c>
      <c r="K207" s="79" t="s">
        <v>200</v>
      </c>
      <c r="L207" s="82" t="s">
        <v>101</v>
      </c>
      <c r="M207" s="83" t="s">
        <v>73</v>
      </c>
      <c r="N207" s="82" t="s">
        <v>389</v>
      </c>
      <c r="P207" s="81" t="s">
        <v>44</v>
      </c>
      <c r="Q207" s="79" t="s">
        <v>201</v>
      </c>
      <c r="R207" s="79" t="s">
        <v>202</v>
      </c>
      <c r="S207" s="79" t="s">
        <v>203</v>
      </c>
      <c r="T207" s="79" t="s">
        <v>204</v>
      </c>
      <c r="U207" s="79" t="s">
        <v>1389</v>
      </c>
      <c r="V207" s="81">
        <v>61.18</v>
      </c>
      <c r="W207" s="81">
        <v>25.08</v>
      </c>
      <c r="X207" s="81" t="s">
        <v>205</v>
      </c>
      <c r="Y207" s="66" t="s">
        <v>1895</v>
      </c>
      <c r="Z207" s="66" t="s">
        <v>2203</v>
      </c>
      <c r="AA207" s="97" t="s">
        <v>49</v>
      </c>
      <c r="AB207" s="82" t="s">
        <v>64</v>
      </c>
      <c r="AC207" s="82" t="s">
        <v>98</v>
      </c>
      <c r="AD207" s="82" t="s">
        <v>64</v>
      </c>
      <c r="AE207" s="82" t="s">
        <v>2238</v>
      </c>
      <c r="AF207" s="82" t="s">
        <v>86</v>
      </c>
      <c r="AG207" s="82" t="s">
        <v>91</v>
      </c>
      <c r="AH207" s="82" t="s">
        <v>106</v>
      </c>
      <c r="AI207" s="82" t="s">
        <v>93</v>
      </c>
      <c r="AJ207" s="86">
        <v>3</v>
      </c>
      <c r="AK207" s="86" t="s">
        <v>85</v>
      </c>
      <c r="AL207" s="86" t="s">
        <v>85</v>
      </c>
      <c r="AM207" s="84" t="s">
        <v>206</v>
      </c>
      <c r="AN207" s="84" t="s">
        <v>528</v>
      </c>
      <c r="AO207" s="84" t="s">
        <v>1114</v>
      </c>
      <c r="AP207" s="68" t="s">
        <v>2227</v>
      </c>
      <c r="AQ207" s="82" t="s">
        <v>94</v>
      </c>
      <c r="AR207" s="86">
        <v>1</v>
      </c>
      <c r="AS207" s="86">
        <v>5</v>
      </c>
      <c r="AT207" s="86"/>
      <c r="AU207" s="86"/>
      <c r="AV207" s="88">
        <v>0.97560975609756084</v>
      </c>
      <c r="AX207" s="82" t="s">
        <v>80</v>
      </c>
      <c r="AY207" s="86">
        <v>3</v>
      </c>
      <c r="AZ207" s="86" t="s">
        <v>85</v>
      </c>
      <c r="BA207" s="86" t="s">
        <v>207</v>
      </c>
      <c r="BB207" s="86"/>
      <c r="BD207" s="83" t="s">
        <v>124</v>
      </c>
      <c r="BE207" s="82" t="s">
        <v>182</v>
      </c>
      <c r="BF207" s="83" t="s">
        <v>1752</v>
      </c>
      <c r="BG207" s="82" t="s">
        <v>21</v>
      </c>
      <c r="BH207" s="82" t="s">
        <v>81</v>
      </c>
      <c r="BI207" s="84" t="s">
        <v>208</v>
      </c>
      <c r="BJ207" s="89">
        <f>12.3/12</f>
        <v>1.0250000000000001</v>
      </c>
      <c r="BK207" s="84" t="s">
        <v>210</v>
      </c>
      <c r="BL207" s="84" t="s">
        <v>210</v>
      </c>
      <c r="BM207" s="88">
        <v>1.0416666666666667</v>
      </c>
      <c r="BN207" s="82" t="s">
        <v>379</v>
      </c>
      <c r="BO207" s="82" t="s">
        <v>209</v>
      </c>
      <c r="BP207" s="82" t="s">
        <v>96</v>
      </c>
      <c r="BR207" s="82" t="s">
        <v>1284</v>
      </c>
      <c r="BS207" s="82" t="s">
        <v>2168</v>
      </c>
      <c r="BT207" s="82" t="s">
        <v>572</v>
      </c>
      <c r="BU207" s="86">
        <v>102.13</v>
      </c>
      <c r="BV207" s="86">
        <v>1.44</v>
      </c>
      <c r="BW207" s="120">
        <v>2.4941531628991829</v>
      </c>
      <c r="BX207" s="86">
        <v>3</v>
      </c>
      <c r="BY207" s="86">
        <v>3</v>
      </c>
      <c r="BZ207" s="82" t="s">
        <v>211</v>
      </c>
      <c r="CB207" s="82" t="s">
        <v>80</v>
      </c>
      <c r="CC207" s="115">
        <v>52.03</v>
      </c>
      <c r="CD207" s="115">
        <v>2.4</v>
      </c>
      <c r="CE207" s="101">
        <v>4.1569219381653051</v>
      </c>
      <c r="CF207" s="86">
        <v>3</v>
      </c>
      <c r="CG207" s="86">
        <v>3</v>
      </c>
      <c r="CH207" s="82" t="s">
        <v>211</v>
      </c>
      <c r="CI207" s="82" t="s">
        <v>413</v>
      </c>
      <c r="CK207" s="86"/>
      <c r="CL207" s="86"/>
      <c r="CM207" s="86"/>
      <c r="CN207" s="86"/>
      <c r="CO207" s="86"/>
      <c r="CS207" s="86"/>
      <c r="CT207" s="86"/>
      <c r="CU207" s="86"/>
      <c r="CV207" s="86"/>
      <c r="CW207" s="86"/>
      <c r="DY207" s="86"/>
      <c r="DZ207" s="86"/>
      <c r="EA207" s="86"/>
      <c r="EB207" s="86"/>
      <c r="EC207" s="86"/>
      <c r="EG207" s="86"/>
      <c r="EH207" s="86"/>
      <c r="EI207" s="86"/>
      <c r="EJ207" s="86"/>
      <c r="EK207" s="86"/>
      <c r="EN207" s="86">
        <f t="shared" si="211"/>
        <v>102.13</v>
      </c>
      <c r="EO207" s="90">
        <f t="shared" si="212"/>
        <v>2.4941531628991829</v>
      </c>
      <c r="EP207" s="86">
        <v>3</v>
      </c>
      <c r="EQ207" s="86">
        <v>3</v>
      </c>
      <c r="ER207" s="86">
        <f t="shared" si="215"/>
        <v>52.03</v>
      </c>
      <c r="ES207" s="90">
        <f t="shared" si="216"/>
        <v>4.1569219381653051</v>
      </c>
      <c r="ET207" s="86">
        <v>3</v>
      </c>
      <c r="EU207" s="86">
        <v>3</v>
      </c>
      <c r="EV207" s="86">
        <f t="shared" si="196"/>
        <v>3.4278856457005675</v>
      </c>
      <c r="EW207" s="86">
        <f t="shared" si="197"/>
        <v>14.615423377042353</v>
      </c>
      <c r="EX207" s="86">
        <f t="shared" si="198"/>
        <v>18.467550040849673</v>
      </c>
      <c r="EY207" s="86">
        <f t="shared" si="199"/>
        <v>0.8</v>
      </c>
      <c r="EZ207" s="83">
        <f t="shared" si="200"/>
        <v>11.692338701633883</v>
      </c>
      <c r="FA207" s="83">
        <f t="shared" si="201"/>
        <v>11.819232026143792</v>
      </c>
      <c r="FB207" s="83">
        <f t="shared" si="202"/>
        <v>6</v>
      </c>
      <c r="FC207" s="82" t="s">
        <v>125</v>
      </c>
      <c r="FD207" s="82">
        <f>EY207^2</f>
        <v>0.64000000000000012</v>
      </c>
    </row>
    <row r="208" spans="1:160" s="82" customFormat="1" ht="17.100000000000001" customHeight="1">
      <c r="A208" s="78" t="s">
        <v>1812</v>
      </c>
      <c r="B208" s="81" t="s">
        <v>1454</v>
      </c>
      <c r="C208" s="80" t="str">
        <f t="shared" si="203"/>
        <v>Tuininga, A. R., &amp; Dighton, J.  2004.  Changes in ectomycorrhizal communities and nutrient availability following prescribed burns in two upland pine-oak forests in the New Jersey pine barrens. Canadian Journal of Forest Research. 34 (8): 1755-1765.</v>
      </c>
      <c r="D208" s="81" t="s">
        <v>1482</v>
      </c>
      <c r="E208" s="81">
        <v>2004</v>
      </c>
      <c r="F208" s="81" t="s">
        <v>1540</v>
      </c>
      <c r="G208" s="81" t="s">
        <v>173</v>
      </c>
      <c r="H208" s="81" t="s">
        <v>722</v>
      </c>
      <c r="I208" s="81" t="s">
        <v>723</v>
      </c>
      <c r="J208" s="81"/>
      <c r="K208" s="84" t="s">
        <v>724</v>
      </c>
      <c r="L208" s="84" t="s">
        <v>101</v>
      </c>
      <c r="M208" s="83" t="s">
        <v>73</v>
      </c>
      <c r="N208" s="84" t="s">
        <v>389</v>
      </c>
      <c r="O208" s="84"/>
      <c r="P208" s="81" t="s">
        <v>16</v>
      </c>
      <c r="Q208" s="84" t="s">
        <v>725</v>
      </c>
      <c r="R208" s="84" t="s">
        <v>1382</v>
      </c>
      <c r="S208" s="81"/>
      <c r="T208" s="81" t="s">
        <v>726</v>
      </c>
      <c r="U208" s="81" t="s">
        <v>727</v>
      </c>
      <c r="V208" s="81">
        <v>39.909999999999997</v>
      </c>
      <c r="W208" s="81">
        <v>-74.45</v>
      </c>
      <c r="X208" s="81"/>
      <c r="Y208" s="99" t="s">
        <v>1896</v>
      </c>
      <c r="Z208" s="66" t="s">
        <v>2203</v>
      </c>
      <c r="AA208" s="83" t="s">
        <v>49</v>
      </c>
      <c r="AB208" s="84" t="s">
        <v>238</v>
      </c>
      <c r="AC208" s="81" t="s">
        <v>235</v>
      </c>
      <c r="AD208" s="84" t="s">
        <v>1263</v>
      </c>
      <c r="AE208" s="84"/>
      <c r="AF208" s="84" t="s">
        <v>156</v>
      </c>
      <c r="AG208" s="84" t="s">
        <v>91</v>
      </c>
      <c r="AH208" s="84" t="s">
        <v>106</v>
      </c>
      <c r="AI208" s="84" t="s">
        <v>93</v>
      </c>
      <c r="AJ208" s="86">
        <v>1</v>
      </c>
      <c r="AK208" s="86">
        <v>7</v>
      </c>
      <c r="AL208" s="86">
        <v>7</v>
      </c>
      <c r="AM208" s="84" t="s">
        <v>64</v>
      </c>
      <c r="AN208" s="84" t="s">
        <v>64</v>
      </c>
      <c r="AO208" s="84" t="s">
        <v>64</v>
      </c>
      <c r="AP208" s="68" t="s">
        <v>64</v>
      </c>
      <c r="AQ208" s="84" t="s">
        <v>88</v>
      </c>
      <c r="AR208" s="86">
        <v>3</v>
      </c>
      <c r="AS208" s="86">
        <v>2</v>
      </c>
      <c r="AT208" s="86"/>
      <c r="AU208" s="90">
        <f>288/12</f>
        <v>24</v>
      </c>
      <c r="AV208" s="88">
        <v>0.29166666666666669</v>
      </c>
      <c r="AW208" s="84"/>
      <c r="AX208" s="84" t="s">
        <v>80</v>
      </c>
      <c r="AY208" s="86">
        <v>1</v>
      </c>
      <c r="AZ208" s="86">
        <v>3</v>
      </c>
      <c r="BA208" s="86">
        <v>2</v>
      </c>
      <c r="BB208" s="86"/>
      <c r="BC208" s="84"/>
      <c r="BD208" s="93" t="s">
        <v>392</v>
      </c>
      <c r="BE208" s="84" t="s">
        <v>182</v>
      </c>
      <c r="BF208" s="93" t="s">
        <v>115</v>
      </c>
      <c r="BG208" s="84" t="s">
        <v>21</v>
      </c>
      <c r="BH208" s="84" t="s">
        <v>81</v>
      </c>
      <c r="BI208" s="84" t="s">
        <v>728</v>
      </c>
      <c r="BJ208" s="89">
        <f t="shared" ref="BJ208:BJ221" si="219">BK208/12</f>
        <v>24</v>
      </c>
      <c r="BK208" s="84">
        <f>24*12</f>
        <v>288</v>
      </c>
      <c r="BL208" s="111" t="s">
        <v>729</v>
      </c>
      <c r="BM208" s="88">
        <v>0.5</v>
      </c>
      <c r="BN208" s="84" t="s">
        <v>379</v>
      </c>
      <c r="BO208" s="84" t="s">
        <v>670</v>
      </c>
      <c r="BP208" s="84" t="s">
        <v>64</v>
      </c>
      <c r="BQ208" s="84"/>
      <c r="BR208" s="81" t="s">
        <v>730</v>
      </c>
      <c r="BS208" s="81" t="s">
        <v>2164</v>
      </c>
      <c r="BT208" s="84" t="s">
        <v>731</v>
      </c>
      <c r="BU208" s="86">
        <v>9.17</v>
      </c>
      <c r="BV208" s="86">
        <v>0.54</v>
      </c>
      <c r="BW208" s="90">
        <v>2.2910259710444141</v>
      </c>
      <c r="BX208" s="86">
        <v>18</v>
      </c>
      <c r="BY208" s="86">
        <v>6</v>
      </c>
      <c r="BZ208" s="84" t="s">
        <v>51</v>
      </c>
      <c r="CA208" s="84" t="s">
        <v>1362</v>
      </c>
      <c r="CB208" s="84" t="s">
        <v>80</v>
      </c>
      <c r="CC208" s="115">
        <v>9.5</v>
      </c>
      <c r="CD208" s="115">
        <v>0.5</v>
      </c>
      <c r="CE208" s="101">
        <v>2.1213203435596424</v>
      </c>
      <c r="CF208" s="86">
        <v>18</v>
      </c>
      <c r="CG208" s="86">
        <v>6</v>
      </c>
      <c r="CH208" s="84" t="s">
        <v>51</v>
      </c>
      <c r="CI208" s="84" t="s">
        <v>1362</v>
      </c>
      <c r="CJ208" s="84"/>
      <c r="CK208" s="86"/>
      <c r="CL208" s="86"/>
      <c r="CM208" s="86"/>
      <c r="CN208" s="86"/>
      <c r="CO208" s="86"/>
      <c r="CP208" s="84"/>
      <c r="CQ208" s="84"/>
      <c r="CR208" s="84"/>
      <c r="CS208" s="86"/>
      <c r="CT208" s="86"/>
      <c r="CU208" s="86"/>
      <c r="CV208" s="86"/>
      <c r="CW208" s="86"/>
      <c r="CX208" s="84"/>
      <c r="CY208" s="84"/>
      <c r="CZ208" s="84"/>
      <c r="DF208" s="84"/>
      <c r="DG208" s="84"/>
      <c r="DH208" s="84"/>
      <c r="DO208" s="84"/>
      <c r="DP208" s="84"/>
      <c r="DV208" s="84"/>
      <c r="DW208" s="84"/>
      <c r="DX208" s="84"/>
      <c r="DY208" s="86"/>
      <c r="DZ208" s="86"/>
      <c r="EA208" s="86"/>
      <c r="EB208" s="86"/>
      <c r="EC208" s="86"/>
      <c r="ED208" s="84"/>
      <c r="EE208" s="84"/>
      <c r="EF208" s="84"/>
      <c r="EG208" s="86"/>
      <c r="EH208" s="86"/>
      <c r="EI208" s="86"/>
      <c r="EJ208" s="86"/>
      <c r="EK208" s="86"/>
      <c r="EL208" s="84"/>
      <c r="EM208" s="84"/>
      <c r="EN208" s="86">
        <f t="shared" si="211"/>
        <v>9.17</v>
      </c>
      <c r="EO208" s="90">
        <f t="shared" si="212"/>
        <v>2.2910259710444141</v>
      </c>
      <c r="EP208" s="86">
        <f t="shared" si="213"/>
        <v>18</v>
      </c>
      <c r="EQ208" s="86">
        <f t="shared" si="214"/>
        <v>6</v>
      </c>
      <c r="ER208" s="86">
        <f t="shared" si="215"/>
        <v>9.5</v>
      </c>
      <c r="ES208" s="90">
        <f t="shared" si="216"/>
        <v>2.1213203435596424</v>
      </c>
      <c r="ET208" s="86">
        <f t="shared" si="217"/>
        <v>18</v>
      </c>
      <c r="EU208" s="86">
        <f t="shared" si="218"/>
        <v>6</v>
      </c>
      <c r="EV208" s="86">
        <f t="shared" si="196"/>
        <v>2.2078043391568918</v>
      </c>
      <c r="EW208" s="86">
        <f t="shared" si="197"/>
        <v>-0.14946976692962713</v>
      </c>
      <c r="EX208" s="86">
        <f t="shared" si="198"/>
        <v>0.3336436279336944</v>
      </c>
      <c r="EY208" s="86">
        <f t="shared" si="199"/>
        <v>0.97777777777777775</v>
      </c>
      <c r="EZ208" s="83">
        <f t="shared" si="200"/>
        <v>-0.1461482165534132</v>
      </c>
      <c r="FA208" s="83">
        <f t="shared" si="201"/>
        <v>0.31897978453315179</v>
      </c>
      <c r="FB208" s="83">
        <f t="shared" si="202"/>
        <v>12</v>
      </c>
      <c r="FC208" s="84" t="s">
        <v>125</v>
      </c>
    </row>
    <row r="209" spans="1:159" s="84" customFormat="1" ht="17.100000000000001" customHeight="1">
      <c r="A209" s="144" t="s">
        <v>1812</v>
      </c>
      <c r="B209" s="99" t="s">
        <v>1454</v>
      </c>
      <c r="C209" s="80" t="str">
        <f t="shared" si="203"/>
        <v>Tuininga, A. R., &amp; Dighton, J.  2004.  Changes in ectomycorrhizal communities and nutrient availability following prescribed burns in two upland pine-oak forests in the New Jersey pine barrens. Canadian Journal of Forest Research. 34 (8): 1755-1765.</v>
      </c>
      <c r="D209" s="81" t="s">
        <v>1482</v>
      </c>
      <c r="E209" s="81">
        <v>2004</v>
      </c>
      <c r="F209" s="99" t="s">
        <v>1540</v>
      </c>
      <c r="G209" s="99" t="s">
        <v>173</v>
      </c>
      <c r="H209" s="99" t="s">
        <v>722</v>
      </c>
      <c r="I209" s="99" t="s">
        <v>723</v>
      </c>
      <c r="J209" s="81"/>
      <c r="K209" s="85" t="s">
        <v>724</v>
      </c>
      <c r="L209" s="84" t="s">
        <v>101</v>
      </c>
      <c r="M209" s="83" t="s">
        <v>73</v>
      </c>
      <c r="N209" s="84" t="s">
        <v>389</v>
      </c>
      <c r="P209" s="99" t="s">
        <v>16</v>
      </c>
      <c r="Q209" s="85" t="s">
        <v>725</v>
      </c>
      <c r="R209" s="85" t="s">
        <v>1381</v>
      </c>
      <c r="S209" s="99"/>
      <c r="T209" s="99" t="s">
        <v>726</v>
      </c>
      <c r="U209" s="99" t="s">
        <v>727</v>
      </c>
      <c r="V209" s="99">
        <v>39.909999999999997</v>
      </c>
      <c r="W209" s="99">
        <v>-74.45</v>
      </c>
      <c r="X209" s="99"/>
      <c r="Y209" s="99" t="s">
        <v>1896</v>
      </c>
      <c r="Z209" s="66" t="s">
        <v>2203</v>
      </c>
      <c r="AA209" s="83" t="s">
        <v>49</v>
      </c>
      <c r="AB209" s="84" t="s">
        <v>238</v>
      </c>
      <c r="AC209" s="81" t="s">
        <v>235</v>
      </c>
      <c r="AD209" s="84" t="s">
        <v>1263</v>
      </c>
      <c r="AF209" s="84" t="s">
        <v>156</v>
      </c>
      <c r="AG209" s="84" t="s">
        <v>91</v>
      </c>
      <c r="AH209" s="84" t="s">
        <v>106</v>
      </c>
      <c r="AI209" s="84" t="s">
        <v>93</v>
      </c>
      <c r="AJ209" s="86">
        <v>1</v>
      </c>
      <c r="AK209" s="86">
        <v>7</v>
      </c>
      <c r="AL209" s="86">
        <v>7</v>
      </c>
      <c r="AM209" s="84" t="s">
        <v>64</v>
      </c>
      <c r="AN209" s="84" t="s">
        <v>64</v>
      </c>
      <c r="AO209" s="84" t="s">
        <v>64</v>
      </c>
      <c r="AP209" s="68" t="s">
        <v>64</v>
      </c>
      <c r="AQ209" s="84" t="s">
        <v>88</v>
      </c>
      <c r="AR209" s="115">
        <v>3</v>
      </c>
      <c r="AS209" s="115">
        <v>2</v>
      </c>
      <c r="AT209" s="86"/>
      <c r="AU209" s="90">
        <f>288/12</f>
        <v>24</v>
      </c>
      <c r="AV209" s="88">
        <v>0.29166666666666669</v>
      </c>
      <c r="AX209" s="85" t="s">
        <v>80</v>
      </c>
      <c r="AY209" s="86">
        <v>1</v>
      </c>
      <c r="AZ209" s="115">
        <v>3</v>
      </c>
      <c r="BA209" s="86">
        <v>2</v>
      </c>
      <c r="BB209" s="86"/>
      <c r="BD209" s="93" t="s">
        <v>394</v>
      </c>
      <c r="BE209" s="84" t="s">
        <v>157</v>
      </c>
      <c r="BF209" s="149" t="s">
        <v>115</v>
      </c>
      <c r="BG209" s="85" t="s">
        <v>21</v>
      </c>
      <c r="BH209" s="84" t="s">
        <v>81</v>
      </c>
      <c r="BI209" s="84" t="s">
        <v>728</v>
      </c>
      <c r="BJ209" s="89">
        <f t="shared" si="219"/>
        <v>24</v>
      </c>
      <c r="BK209" s="84">
        <f>24*12</f>
        <v>288</v>
      </c>
      <c r="BL209" s="111" t="s">
        <v>729</v>
      </c>
      <c r="BM209" s="88">
        <v>0.5</v>
      </c>
      <c r="BN209" s="84" t="s">
        <v>379</v>
      </c>
      <c r="BO209" s="84" t="s">
        <v>670</v>
      </c>
      <c r="BP209" s="163" t="s">
        <v>64</v>
      </c>
      <c r="BQ209" s="84" t="s">
        <v>671</v>
      </c>
      <c r="BR209" s="99" t="s">
        <v>730</v>
      </c>
      <c r="BS209" s="99" t="s">
        <v>2164</v>
      </c>
      <c r="BT209" s="84" t="s">
        <v>731</v>
      </c>
      <c r="BU209" s="86">
        <v>3.86</v>
      </c>
      <c r="BV209" s="86">
        <v>0.28999999999999998</v>
      </c>
      <c r="BW209" s="90">
        <v>1.2303657992645924</v>
      </c>
      <c r="BX209" s="86">
        <v>18</v>
      </c>
      <c r="BY209" s="86">
        <v>6</v>
      </c>
      <c r="BZ209" s="84" t="s">
        <v>51</v>
      </c>
      <c r="CA209" s="84" t="s">
        <v>1362</v>
      </c>
      <c r="CB209" s="84" t="s">
        <v>80</v>
      </c>
      <c r="CC209" s="115">
        <v>3.86</v>
      </c>
      <c r="CD209" s="115">
        <v>0.27</v>
      </c>
      <c r="CE209" s="101">
        <v>1.145512985522207</v>
      </c>
      <c r="CF209" s="86">
        <v>18</v>
      </c>
      <c r="CG209" s="86">
        <v>6</v>
      </c>
      <c r="CH209" s="84" t="s">
        <v>51</v>
      </c>
      <c r="CI209" s="84" t="s">
        <v>1362</v>
      </c>
      <c r="CK209" s="86"/>
      <c r="CL209" s="86"/>
      <c r="CM209" s="86"/>
      <c r="CN209" s="86"/>
      <c r="CO209" s="86"/>
      <c r="CS209" s="86"/>
      <c r="CT209" s="86"/>
      <c r="CU209" s="86"/>
      <c r="CV209" s="86"/>
      <c r="CW209" s="86"/>
      <c r="DA209" s="82"/>
      <c r="DB209" s="82"/>
      <c r="DC209" s="82"/>
      <c r="DD209" s="82"/>
      <c r="DE209" s="82"/>
      <c r="DI209" s="82"/>
      <c r="DJ209" s="82"/>
      <c r="DK209" s="82"/>
      <c r="DL209" s="82"/>
      <c r="DM209" s="82"/>
      <c r="DN209" s="82"/>
      <c r="DQ209" s="82"/>
      <c r="DR209" s="82"/>
      <c r="DS209" s="82"/>
      <c r="DT209" s="82"/>
      <c r="DU209" s="82"/>
      <c r="DY209" s="86"/>
      <c r="DZ209" s="86"/>
      <c r="EA209" s="86"/>
      <c r="EB209" s="86"/>
      <c r="EC209" s="86"/>
      <c r="EG209" s="86"/>
      <c r="EH209" s="86"/>
      <c r="EI209" s="86"/>
      <c r="EJ209" s="86"/>
      <c r="EK209" s="86"/>
      <c r="EN209" s="86">
        <f t="shared" si="211"/>
        <v>3.86</v>
      </c>
      <c r="EO209" s="90">
        <f t="shared" si="212"/>
        <v>1.2303657992645924</v>
      </c>
      <c r="EP209" s="86">
        <f t="shared" si="213"/>
        <v>18</v>
      </c>
      <c r="EQ209" s="86">
        <f t="shared" si="214"/>
        <v>6</v>
      </c>
      <c r="ER209" s="86">
        <f t="shared" si="215"/>
        <v>3.86</v>
      </c>
      <c r="ES209" s="90">
        <f t="shared" si="216"/>
        <v>1.145512985522207</v>
      </c>
      <c r="ET209" s="86">
        <f t="shared" si="217"/>
        <v>18</v>
      </c>
      <c r="EU209" s="86">
        <f t="shared" si="218"/>
        <v>6</v>
      </c>
      <c r="EV209" s="86">
        <f t="shared" si="196"/>
        <v>1.1886967653695368</v>
      </c>
      <c r="EW209" s="86">
        <f t="shared" si="197"/>
        <v>0</v>
      </c>
      <c r="EX209" s="86">
        <f t="shared" si="198"/>
        <v>0.33333333333333331</v>
      </c>
      <c r="EY209" s="86">
        <f t="shared" si="199"/>
        <v>0.97777777777777775</v>
      </c>
      <c r="EZ209" s="83">
        <f t="shared" si="200"/>
        <v>0</v>
      </c>
      <c r="FA209" s="83">
        <f t="shared" si="201"/>
        <v>0.31868312757201644</v>
      </c>
      <c r="FB209" s="83">
        <f t="shared" si="202"/>
        <v>12</v>
      </c>
      <c r="FC209" s="84" t="s">
        <v>125</v>
      </c>
    </row>
    <row r="210" spans="1:159" s="84" customFormat="1" ht="17.100000000000001" customHeight="1">
      <c r="A210" s="144" t="s">
        <v>1815</v>
      </c>
      <c r="B210" s="156" t="s">
        <v>1400</v>
      </c>
      <c r="C210" s="80" t="str">
        <f t="shared" si="203"/>
        <v>Welch, N. T., Waldrop, T. A., &amp; Buckner, E. R.  2000.  Response of southern Appalachian table mountain pine (Pinus pungens) and pitch pine (P-rigida) stands to prescribed burning. Forest Ecology and Management. 136 (1-3): 185-197.</v>
      </c>
      <c r="D210" s="81" t="s">
        <v>1485</v>
      </c>
      <c r="E210" s="81">
        <v>2000</v>
      </c>
      <c r="F210" s="99" t="s">
        <v>1542</v>
      </c>
      <c r="G210" s="99" t="s">
        <v>20</v>
      </c>
      <c r="H210" s="156" t="s">
        <v>619</v>
      </c>
      <c r="I210" s="99" t="s">
        <v>620</v>
      </c>
      <c r="J210" s="81"/>
      <c r="K210" s="164" t="s">
        <v>621</v>
      </c>
      <c r="L210" s="84" t="s">
        <v>102</v>
      </c>
      <c r="M210" s="65" t="s">
        <v>73</v>
      </c>
      <c r="N210" s="84" t="s">
        <v>389</v>
      </c>
      <c r="P210" s="156" t="s">
        <v>16</v>
      </c>
      <c r="Q210" s="164" t="s">
        <v>622</v>
      </c>
      <c r="R210" s="164" t="s">
        <v>1399</v>
      </c>
      <c r="S210" s="156"/>
      <c r="T210" s="156" t="s">
        <v>1395</v>
      </c>
      <c r="U210" s="156" t="s">
        <v>1396</v>
      </c>
      <c r="V210" s="156">
        <v>38.159999999999997</v>
      </c>
      <c r="W210" s="99">
        <v>-79.819999999999993</v>
      </c>
      <c r="X210" s="81"/>
      <c r="Y210" s="99" t="s">
        <v>1897</v>
      </c>
      <c r="Z210" s="66" t="s">
        <v>2203</v>
      </c>
      <c r="AA210" s="137" t="s">
        <v>49</v>
      </c>
      <c r="AB210" s="84" t="s">
        <v>103</v>
      </c>
      <c r="AC210" s="81" t="s">
        <v>137</v>
      </c>
      <c r="AF210" s="85" t="s">
        <v>589</v>
      </c>
      <c r="AG210" s="85" t="s">
        <v>589</v>
      </c>
      <c r="AH210" s="85" t="s">
        <v>106</v>
      </c>
      <c r="AI210" s="84" t="s">
        <v>276</v>
      </c>
      <c r="AJ210" s="115">
        <v>1</v>
      </c>
      <c r="AK210" s="115">
        <v>1</v>
      </c>
      <c r="AL210" s="115">
        <v>1</v>
      </c>
      <c r="AM210" s="85" t="s">
        <v>338</v>
      </c>
      <c r="AN210" s="84" t="s">
        <v>522</v>
      </c>
      <c r="AO210" s="84" t="s">
        <v>524</v>
      </c>
      <c r="AP210" s="68" t="s">
        <v>2228</v>
      </c>
      <c r="AQ210" s="84" t="s">
        <v>94</v>
      </c>
      <c r="AR210" s="86">
        <v>1</v>
      </c>
      <c r="AS210" s="86">
        <v>8</v>
      </c>
      <c r="AT210" s="86"/>
      <c r="AU210" s="90"/>
      <c r="AV210" s="88">
        <v>1</v>
      </c>
      <c r="AX210" s="85" t="s">
        <v>80</v>
      </c>
      <c r="AY210" s="86">
        <v>1</v>
      </c>
      <c r="AZ210" s="115">
        <v>1</v>
      </c>
      <c r="BA210" s="86">
        <v>8</v>
      </c>
      <c r="BB210" s="86"/>
      <c r="BD210" s="149" t="s">
        <v>124</v>
      </c>
      <c r="BE210" s="85" t="s">
        <v>182</v>
      </c>
      <c r="BF210" s="149" t="s">
        <v>112</v>
      </c>
      <c r="BG210" s="85" t="s">
        <v>21</v>
      </c>
      <c r="BH210" s="85" t="s">
        <v>81</v>
      </c>
      <c r="BI210" s="84" t="s">
        <v>623</v>
      </c>
      <c r="BJ210" s="89">
        <f t="shared" si="219"/>
        <v>0.83333333333333337</v>
      </c>
      <c r="BK210" s="84">
        <v>10</v>
      </c>
      <c r="BL210" s="84">
        <v>10</v>
      </c>
      <c r="BM210" s="88">
        <v>0.83333333333333337</v>
      </c>
      <c r="BN210" s="84" t="s">
        <v>379</v>
      </c>
      <c r="BO210" s="84" t="s">
        <v>361</v>
      </c>
      <c r="BP210" s="163" t="s">
        <v>64</v>
      </c>
      <c r="BR210" s="91" t="s">
        <v>1766</v>
      </c>
      <c r="BS210" s="91" t="s">
        <v>2176</v>
      </c>
      <c r="BT210" s="84" t="s">
        <v>572</v>
      </c>
      <c r="BU210" s="86">
        <v>3.6</v>
      </c>
      <c r="BV210" s="86">
        <v>0.3</v>
      </c>
      <c r="BW210" s="114">
        <v>0.84852813742385702</v>
      </c>
      <c r="BX210" s="86">
        <v>8</v>
      </c>
      <c r="BY210" s="86">
        <v>8</v>
      </c>
      <c r="BZ210" s="84" t="s">
        <v>624</v>
      </c>
      <c r="CA210" s="84" t="s">
        <v>1365</v>
      </c>
      <c r="CB210" s="84" t="s">
        <v>80</v>
      </c>
      <c r="CC210" s="86">
        <v>5.9</v>
      </c>
      <c r="CD210" s="86">
        <v>0.6</v>
      </c>
      <c r="CE210" s="90">
        <v>1.697056274847714</v>
      </c>
      <c r="CF210" s="86">
        <v>8</v>
      </c>
      <c r="CG210" s="86">
        <v>8</v>
      </c>
      <c r="CH210" s="84" t="s">
        <v>624</v>
      </c>
      <c r="CI210" s="84" t="s">
        <v>1365</v>
      </c>
      <c r="CK210" s="86"/>
      <c r="CL210" s="86"/>
      <c r="CM210" s="86"/>
      <c r="CN210" s="86"/>
      <c r="CO210" s="86"/>
      <c r="CS210" s="86"/>
      <c r="CT210" s="86"/>
      <c r="CU210" s="86"/>
      <c r="CV210" s="86"/>
      <c r="CW210" s="86"/>
      <c r="DA210" s="82"/>
      <c r="DB210" s="82"/>
      <c r="DC210" s="82"/>
      <c r="DD210" s="82"/>
      <c r="DE210" s="82"/>
      <c r="DI210" s="82"/>
      <c r="DJ210" s="82"/>
      <c r="DK210" s="82"/>
      <c r="DL210" s="82"/>
      <c r="DM210" s="82"/>
      <c r="DN210" s="82"/>
      <c r="DQ210" s="82"/>
      <c r="DR210" s="82"/>
      <c r="DS210" s="82"/>
      <c r="DT210" s="82"/>
      <c r="DU210" s="82"/>
      <c r="DY210" s="86"/>
      <c r="DZ210" s="86"/>
      <c r="EA210" s="86"/>
      <c r="EB210" s="86"/>
      <c r="EC210" s="86"/>
      <c r="EG210" s="86"/>
      <c r="EH210" s="86"/>
      <c r="EI210" s="86"/>
      <c r="EJ210" s="86"/>
      <c r="EK210" s="86"/>
      <c r="EN210" s="86">
        <f t="shared" si="211"/>
        <v>3.6</v>
      </c>
      <c r="EO210" s="90">
        <f t="shared" si="212"/>
        <v>0.84852813742385702</v>
      </c>
      <c r="EP210" s="86">
        <f t="shared" si="213"/>
        <v>8</v>
      </c>
      <c r="EQ210" s="86">
        <f t="shared" si="214"/>
        <v>8</v>
      </c>
      <c r="ER210" s="86">
        <f t="shared" si="215"/>
        <v>5.9</v>
      </c>
      <c r="ES210" s="90">
        <f t="shared" si="216"/>
        <v>1.697056274847714</v>
      </c>
      <c r="ET210" s="86">
        <f t="shared" si="217"/>
        <v>8</v>
      </c>
      <c r="EU210" s="86">
        <f t="shared" si="218"/>
        <v>8</v>
      </c>
      <c r="EV210" s="86">
        <f t="shared" si="196"/>
        <v>1.3416407864998738</v>
      </c>
      <c r="EW210" s="86">
        <f t="shared" si="197"/>
        <v>-1.714318782749839</v>
      </c>
      <c r="EX210" s="86">
        <f t="shared" si="198"/>
        <v>0.34184027777777781</v>
      </c>
      <c r="EY210" s="86">
        <f t="shared" si="199"/>
        <v>0.94545454545454544</v>
      </c>
      <c r="EZ210" s="83">
        <f t="shared" si="200"/>
        <v>-1.6208104855089387</v>
      </c>
      <c r="FA210" s="83">
        <f t="shared" si="201"/>
        <v>0.3055656565656566</v>
      </c>
      <c r="FB210" s="83">
        <f t="shared" si="202"/>
        <v>16</v>
      </c>
      <c r="FC210" s="84" t="s">
        <v>125</v>
      </c>
    </row>
    <row r="211" spans="1:159" s="84" customFormat="1" ht="17.100000000000001" customHeight="1">
      <c r="A211" s="144" t="s">
        <v>1815</v>
      </c>
      <c r="B211" s="156" t="s">
        <v>1400</v>
      </c>
      <c r="C211" s="80" t="str">
        <f t="shared" si="203"/>
        <v>Welch, N. T., Waldrop, T. A., &amp; Buckner, E. R.  2000.  Response of southern Appalachian table mountain pine (Pinus pungens) and pitch pine (P-rigida) stands to prescribed burning. Forest Ecology and Management. 136 (1-3): 185-197.</v>
      </c>
      <c r="D211" s="81" t="s">
        <v>1485</v>
      </c>
      <c r="E211" s="81">
        <v>2000</v>
      </c>
      <c r="F211" s="99" t="s">
        <v>1542</v>
      </c>
      <c r="G211" s="99" t="s">
        <v>20</v>
      </c>
      <c r="H211" s="156" t="s">
        <v>619</v>
      </c>
      <c r="I211" s="99" t="s">
        <v>620</v>
      </c>
      <c r="J211" s="81"/>
      <c r="K211" s="164" t="s">
        <v>621</v>
      </c>
      <c r="L211" s="84" t="s">
        <v>102</v>
      </c>
      <c r="M211" s="65" t="s">
        <v>73</v>
      </c>
      <c r="N211" s="84" t="s">
        <v>389</v>
      </c>
      <c r="P211" s="156" t="s">
        <v>16</v>
      </c>
      <c r="Q211" s="164" t="s">
        <v>622</v>
      </c>
      <c r="R211" s="164" t="s">
        <v>1399</v>
      </c>
      <c r="S211" s="156"/>
      <c r="T211" s="156" t="s">
        <v>1395</v>
      </c>
      <c r="U211" s="156" t="s">
        <v>1396</v>
      </c>
      <c r="V211" s="156">
        <v>38.159999999999997</v>
      </c>
      <c r="W211" s="99">
        <v>-79.819999999999993</v>
      </c>
      <c r="X211" s="81"/>
      <c r="Y211" s="99" t="s">
        <v>1897</v>
      </c>
      <c r="Z211" s="66" t="s">
        <v>2203</v>
      </c>
      <c r="AA211" s="137" t="s">
        <v>49</v>
      </c>
      <c r="AB211" s="84" t="s">
        <v>103</v>
      </c>
      <c r="AC211" s="81" t="s">
        <v>137</v>
      </c>
      <c r="AF211" s="85" t="s">
        <v>589</v>
      </c>
      <c r="AG211" s="85" t="s">
        <v>589</v>
      </c>
      <c r="AH211" s="85" t="s">
        <v>106</v>
      </c>
      <c r="AI211" s="84" t="s">
        <v>276</v>
      </c>
      <c r="AJ211" s="115">
        <v>1</v>
      </c>
      <c r="AK211" s="115">
        <v>1</v>
      </c>
      <c r="AL211" s="115">
        <v>1</v>
      </c>
      <c r="AM211" s="85" t="s">
        <v>338</v>
      </c>
      <c r="AN211" s="84" t="s">
        <v>522</v>
      </c>
      <c r="AO211" s="84" t="s">
        <v>524</v>
      </c>
      <c r="AP211" s="68" t="s">
        <v>2228</v>
      </c>
      <c r="AQ211" s="84" t="s">
        <v>94</v>
      </c>
      <c r="AR211" s="86">
        <v>1</v>
      </c>
      <c r="AS211" s="86">
        <v>8</v>
      </c>
      <c r="AT211" s="86">
        <v>2</v>
      </c>
      <c r="AU211" s="90"/>
      <c r="AV211" s="88">
        <v>1</v>
      </c>
      <c r="AX211" s="85" t="s">
        <v>80</v>
      </c>
      <c r="AY211" s="86">
        <v>1</v>
      </c>
      <c r="AZ211" s="115">
        <v>1</v>
      </c>
      <c r="BA211" s="86">
        <v>8</v>
      </c>
      <c r="BB211" s="86">
        <v>2</v>
      </c>
      <c r="BD211" s="149" t="s">
        <v>124</v>
      </c>
      <c r="BE211" s="85" t="s">
        <v>182</v>
      </c>
      <c r="BF211" s="149" t="s">
        <v>387</v>
      </c>
      <c r="BG211" s="85" t="s">
        <v>21</v>
      </c>
      <c r="BH211" s="85" t="s">
        <v>81</v>
      </c>
      <c r="BI211" s="84" t="s">
        <v>625</v>
      </c>
      <c r="BJ211" s="89">
        <f t="shared" si="219"/>
        <v>0.83333333333333337</v>
      </c>
      <c r="BK211" s="84">
        <v>10</v>
      </c>
      <c r="BL211" s="84">
        <v>10</v>
      </c>
      <c r="BM211" s="88">
        <v>0.83333333333333337</v>
      </c>
      <c r="BN211" s="84" t="s">
        <v>379</v>
      </c>
      <c r="BO211" s="84" t="s">
        <v>361</v>
      </c>
      <c r="BP211" s="163" t="s">
        <v>64</v>
      </c>
      <c r="BR211" s="84" t="s">
        <v>626</v>
      </c>
      <c r="BS211" s="84" t="s">
        <v>2141</v>
      </c>
      <c r="BT211" s="84" t="s">
        <v>572</v>
      </c>
      <c r="BU211" s="86">
        <v>5.4</v>
      </c>
      <c r="BV211" s="86">
        <v>0.5</v>
      </c>
      <c r="BW211" s="114">
        <v>1.4142135623730951</v>
      </c>
      <c r="BX211" s="86">
        <v>8</v>
      </c>
      <c r="BY211" s="86">
        <v>8</v>
      </c>
      <c r="BZ211" s="84" t="s">
        <v>624</v>
      </c>
      <c r="CA211" s="84" t="s">
        <v>1365</v>
      </c>
      <c r="CB211" s="84" t="s">
        <v>80</v>
      </c>
      <c r="CC211" s="86">
        <v>2.6</v>
      </c>
      <c r="CD211" s="86">
        <v>0.3</v>
      </c>
      <c r="CE211" s="90">
        <v>0.84852813742385702</v>
      </c>
      <c r="CF211" s="86">
        <v>8</v>
      </c>
      <c r="CG211" s="86">
        <v>8</v>
      </c>
      <c r="CH211" s="84" t="s">
        <v>624</v>
      </c>
      <c r="CI211" s="84" t="s">
        <v>1365</v>
      </c>
      <c r="CK211" s="86"/>
      <c r="CL211" s="86"/>
      <c r="CM211" s="86"/>
      <c r="CN211" s="86"/>
      <c r="CO211" s="86"/>
      <c r="CS211" s="86"/>
      <c r="CT211" s="86"/>
      <c r="CU211" s="86"/>
      <c r="CV211" s="86"/>
      <c r="CW211" s="86"/>
      <c r="DA211" s="82"/>
      <c r="DB211" s="82"/>
      <c r="DC211" s="82"/>
      <c r="DD211" s="82"/>
      <c r="DE211" s="82"/>
      <c r="DI211" s="82"/>
      <c r="DJ211" s="82"/>
      <c r="DK211" s="82"/>
      <c r="DL211" s="82"/>
      <c r="DM211" s="82"/>
      <c r="DN211" s="82"/>
      <c r="DQ211" s="82"/>
      <c r="DR211" s="82"/>
      <c r="DS211" s="82"/>
      <c r="DT211" s="82"/>
      <c r="DU211" s="82"/>
      <c r="DY211" s="86"/>
      <c r="DZ211" s="86"/>
      <c r="EA211" s="86"/>
      <c r="EB211" s="86"/>
      <c r="EC211" s="86"/>
      <c r="EG211" s="86"/>
      <c r="EH211" s="86"/>
      <c r="EI211" s="86"/>
      <c r="EJ211" s="86"/>
      <c r="EK211" s="86"/>
      <c r="EN211" s="86">
        <f t="shared" si="211"/>
        <v>5.4</v>
      </c>
      <c r="EO211" s="90">
        <f t="shared" si="212"/>
        <v>1.4142135623730951</v>
      </c>
      <c r="EP211" s="86">
        <f t="shared" si="213"/>
        <v>8</v>
      </c>
      <c r="EQ211" s="86">
        <f t="shared" si="214"/>
        <v>8</v>
      </c>
      <c r="ER211" s="86">
        <f t="shared" si="215"/>
        <v>2.6</v>
      </c>
      <c r="ES211" s="90">
        <f t="shared" si="216"/>
        <v>0.84852813742385702</v>
      </c>
      <c r="ET211" s="86">
        <f t="shared" si="217"/>
        <v>8</v>
      </c>
      <c r="EU211" s="86">
        <f t="shared" si="218"/>
        <v>8</v>
      </c>
      <c r="EV211" s="86">
        <f t="shared" si="196"/>
        <v>1.1661903789690602</v>
      </c>
      <c r="EW211" s="86">
        <f t="shared" si="197"/>
        <v>2.4009801919951239</v>
      </c>
      <c r="EX211" s="86">
        <f t="shared" si="198"/>
        <v>0.43014705882352944</v>
      </c>
      <c r="EY211" s="86">
        <f t="shared" si="199"/>
        <v>0.94545454545454544</v>
      </c>
      <c r="EZ211" s="83">
        <f t="shared" si="200"/>
        <v>2.270017636068117</v>
      </c>
      <c r="FA211" s="83">
        <f t="shared" si="201"/>
        <v>0.3845017015070491</v>
      </c>
      <c r="FB211" s="83">
        <f t="shared" si="202"/>
        <v>16</v>
      </c>
      <c r="FC211" s="84" t="s">
        <v>125</v>
      </c>
    </row>
    <row r="212" spans="1:159" s="84" customFormat="1" ht="17.100000000000001" customHeight="1">
      <c r="A212" s="78" t="s">
        <v>1815</v>
      </c>
      <c r="B212" s="81" t="s">
        <v>1400</v>
      </c>
      <c r="C212" s="80" t="str">
        <f t="shared" si="203"/>
        <v>Welch, N. T., Waldrop, T. A., &amp; Buckner, E. R.  2000.  Response of southern Appalachian table mountain pine (Pinus pungens) and pitch pine (P-rigida) stands to prescribed burning. Forest Ecology and Management. 136 (1-3): 185-197.</v>
      </c>
      <c r="D212" s="81" t="s">
        <v>1485</v>
      </c>
      <c r="E212" s="81">
        <v>2000</v>
      </c>
      <c r="F212" s="81" t="s">
        <v>1542</v>
      </c>
      <c r="G212" s="81" t="s">
        <v>20</v>
      </c>
      <c r="H212" s="81" t="s">
        <v>619</v>
      </c>
      <c r="I212" s="81" t="s">
        <v>620</v>
      </c>
      <c r="J212" s="81"/>
      <c r="K212" s="84" t="s">
        <v>621</v>
      </c>
      <c r="L212" s="84" t="s">
        <v>102</v>
      </c>
      <c r="M212" s="65" t="s">
        <v>73</v>
      </c>
      <c r="N212" s="84" t="s">
        <v>389</v>
      </c>
      <c r="P212" s="81" t="s">
        <v>16</v>
      </c>
      <c r="Q212" s="84" t="s">
        <v>622</v>
      </c>
      <c r="R212" s="84" t="s">
        <v>1399</v>
      </c>
      <c r="S212" s="81"/>
      <c r="T212" s="81" t="s">
        <v>1395</v>
      </c>
      <c r="U212" s="81" t="s">
        <v>1396</v>
      </c>
      <c r="V212" s="81">
        <v>38.159999999999997</v>
      </c>
      <c r="W212" s="81">
        <v>-79.819999999999993</v>
      </c>
      <c r="X212" s="81"/>
      <c r="Y212" s="99" t="s">
        <v>1897</v>
      </c>
      <c r="Z212" s="66" t="s">
        <v>2203</v>
      </c>
      <c r="AA212" s="83" t="s">
        <v>49</v>
      </c>
      <c r="AB212" s="84" t="s">
        <v>103</v>
      </c>
      <c r="AC212" s="81" t="s">
        <v>137</v>
      </c>
      <c r="AF212" s="84" t="s">
        <v>589</v>
      </c>
      <c r="AG212" s="84" t="s">
        <v>589</v>
      </c>
      <c r="AH212" s="84" t="s">
        <v>106</v>
      </c>
      <c r="AI212" s="84" t="s">
        <v>276</v>
      </c>
      <c r="AJ212" s="86">
        <v>1</v>
      </c>
      <c r="AK212" s="86">
        <v>1</v>
      </c>
      <c r="AL212" s="86">
        <v>1</v>
      </c>
      <c r="AM212" s="84" t="s">
        <v>338</v>
      </c>
      <c r="AN212" s="84" t="s">
        <v>522</v>
      </c>
      <c r="AO212" s="84" t="s">
        <v>524</v>
      </c>
      <c r="AP212" s="68" t="s">
        <v>2228</v>
      </c>
      <c r="AQ212" s="84" t="s">
        <v>94</v>
      </c>
      <c r="AR212" s="86">
        <v>1</v>
      </c>
      <c r="AS212" s="86">
        <v>8</v>
      </c>
      <c r="AT212" s="86">
        <v>4</v>
      </c>
      <c r="AU212" s="90"/>
      <c r="AV212" s="88">
        <v>1</v>
      </c>
      <c r="AX212" s="84" t="s">
        <v>80</v>
      </c>
      <c r="AY212" s="86">
        <v>1</v>
      </c>
      <c r="AZ212" s="86">
        <v>1</v>
      </c>
      <c r="BA212" s="86">
        <v>8</v>
      </c>
      <c r="BB212" s="86">
        <v>4</v>
      </c>
      <c r="BD212" s="93" t="s">
        <v>124</v>
      </c>
      <c r="BE212" s="84" t="s">
        <v>182</v>
      </c>
      <c r="BF212" s="93" t="s">
        <v>386</v>
      </c>
      <c r="BG212" s="84" t="s">
        <v>21</v>
      </c>
      <c r="BH212" s="84" t="s">
        <v>81</v>
      </c>
      <c r="BI212" s="84" t="s">
        <v>365</v>
      </c>
      <c r="BJ212" s="89">
        <f t="shared" si="219"/>
        <v>0.83333333333333337</v>
      </c>
      <c r="BK212" s="84">
        <v>10</v>
      </c>
      <c r="BL212" s="84">
        <v>10</v>
      </c>
      <c r="BM212" s="88">
        <v>0.83333333333333337</v>
      </c>
      <c r="BN212" s="84" t="s">
        <v>379</v>
      </c>
      <c r="BO212" s="84" t="s">
        <v>361</v>
      </c>
      <c r="BP212" s="84" t="s">
        <v>64</v>
      </c>
      <c r="BR212" s="81" t="s">
        <v>627</v>
      </c>
      <c r="BS212" s="81" t="s">
        <v>2142</v>
      </c>
      <c r="BT212" s="84" t="s">
        <v>572</v>
      </c>
      <c r="BU212" s="86">
        <v>6</v>
      </c>
      <c r="BV212" s="86">
        <v>0.8</v>
      </c>
      <c r="BW212" s="199">
        <v>2.2627416997969525</v>
      </c>
      <c r="BX212" s="86">
        <v>8</v>
      </c>
      <c r="BY212" s="86">
        <v>8</v>
      </c>
      <c r="BZ212" s="84" t="s">
        <v>624</v>
      </c>
      <c r="CA212" s="84" t="s">
        <v>1365</v>
      </c>
      <c r="CB212" s="84" t="s">
        <v>80</v>
      </c>
      <c r="CC212" s="86">
        <v>2.8</v>
      </c>
      <c r="CD212" s="86">
        <v>0.3</v>
      </c>
      <c r="CE212" s="90">
        <v>0.84852813742385702</v>
      </c>
      <c r="CF212" s="86">
        <v>8</v>
      </c>
      <c r="CG212" s="86">
        <v>8</v>
      </c>
      <c r="CH212" s="84" t="s">
        <v>624</v>
      </c>
      <c r="CI212" s="84" t="s">
        <v>1365</v>
      </c>
      <c r="CK212" s="86"/>
      <c r="CL212" s="86"/>
      <c r="CM212" s="86"/>
      <c r="CN212" s="86"/>
      <c r="CO212" s="86"/>
      <c r="CS212" s="86"/>
      <c r="CT212" s="86"/>
      <c r="CU212" s="86"/>
      <c r="CV212" s="86"/>
      <c r="CW212" s="86"/>
      <c r="DA212" s="82"/>
      <c r="DB212" s="82"/>
      <c r="DC212" s="82"/>
      <c r="DD212" s="82"/>
      <c r="DE212" s="82"/>
      <c r="DI212" s="82"/>
      <c r="DJ212" s="82"/>
      <c r="DK212" s="82"/>
      <c r="DL212" s="82"/>
      <c r="DM212" s="82"/>
      <c r="DN212" s="82"/>
      <c r="DQ212" s="82"/>
      <c r="DR212" s="82"/>
      <c r="DS212" s="82"/>
      <c r="DT212" s="82"/>
      <c r="DU212" s="82"/>
      <c r="DY212" s="86"/>
      <c r="DZ212" s="86"/>
      <c r="EA212" s="86"/>
      <c r="EB212" s="86"/>
      <c r="EC212" s="86"/>
      <c r="EG212" s="86"/>
      <c r="EH212" s="86"/>
      <c r="EI212" s="86"/>
      <c r="EJ212" s="86"/>
      <c r="EK212" s="86"/>
      <c r="EN212" s="86">
        <f t="shared" si="211"/>
        <v>6</v>
      </c>
      <c r="EO212" s="90">
        <f t="shared" si="212"/>
        <v>2.2627416997969525</v>
      </c>
      <c r="EP212" s="86">
        <f t="shared" si="213"/>
        <v>8</v>
      </c>
      <c r="EQ212" s="86">
        <f t="shared" si="214"/>
        <v>8</v>
      </c>
      <c r="ER212" s="86">
        <f t="shared" si="215"/>
        <v>2.8</v>
      </c>
      <c r="ES212" s="90">
        <f t="shared" si="216"/>
        <v>0.84852813742385702</v>
      </c>
      <c r="ET212" s="86">
        <f t="shared" si="217"/>
        <v>8</v>
      </c>
      <c r="EU212" s="86">
        <f t="shared" si="218"/>
        <v>8</v>
      </c>
      <c r="EV212" s="86">
        <f t="shared" ref="EV212:EV221" si="220">SQRT((((EP212-1)*EO212^2)+((ET212-1)*ES212^2))/((EP212+ET212)-2))</f>
        <v>1.7088007490635064</v>
      </c>
      <c r="EW212" s="86">
        <f t="shared" ref="EW212:EW221" si="221">(EN212-ER212)/EV212</f>
        <v>1.8726583551380889</v>
      </c>
      <c r="EX212" s="86">
        <f t="shared" ref="EX212:EX221" si="222">((EQ212+EU212)/(EQ212*EU212))+((EW212^2)/(2*(EP212+ET212)))</f>
        <v>0.3595890410958904</v>
      </c>
      <c r="EY212" s="86">
        <f t="shared" ref="EY212:EY221" si="223">1-(3/((4*(EP212+ET212-2))-1))</f>
        <v>0.94545454545454544</v>
      </c>
      <c r="EZ212" s="83">
        <f t="shared" ref="EZ212:EZ221" si="224">EY212*EW212</f>
        <v>1.7705133539487385</v>
      </c>
      <c r="FA212" s="83">
        <f t="shared" ref="FA212:FA221" si="225">(EY212^2)*EX212</f>
        <v>0.32143099739612813</v>
      </c>
      <c r="FB212" s="83">
        <f t="shared" ref="FB212:FB221" si="226">EQ212+EU212</f>
        <v>16</v>
      </c>
      <c r="FC212" s="84" t="s">
        <v>125</v>
      </c>
    </row>
    <row r="213" spans="1:159" s="84" customFormat="1" ht="17.100000000000001" customHeight="1">
      <c r="A213" s="78" t="s">
        <v>1815</v>
      </c>
      <c r="B213" s="81" t="s">
        <v>1400</v>
      </c>
      <c r="C213" s="80" t="str">
        <f t="shared" si="203"/>
        <v>Welch, N. T., Waldrop, T. A., &amp; Buckner, E. R.  2000.  Response of southern Appalachian table mountain pine (Pinus pungens) and pitch pine (P-rigida) stands to prescribed burning. Forest Ecology and Management. 136 (1-3): 185-197.</v>
      </c>
      <c r="D213" s="81" t="s">
        <v>1485</v>
      </c>
      <c r="E213" s="81">
        <v>2000</v>
      </c>
      <c r="F213" s="81" t="s">
        <v>1542</v>
      </c>
      <c r="G213" s="81" t="s">
        <v>20</v>
      </c>
      <c r="H213" s="81" t="s">
        <v>619</v>
      </c>
      <c r="I213" s="81" t="s">
        <v>620</v>
      </c>
      <c r="J213" s="81"/>
      <c r="K213" s="84" t="s">
        <v>621</v>
      </c>
      <c r="L213" s="84" t="s">
        <v>102</v>
      </c>
      <c r="M213" s="65" t="s">
        <v>73</v>
      </c>
      <c r="N213" s="84" t="s">
        <v>389</v>
      </c>
      <c r="P213" s="81" t="s">
        <v>16</v>
      </c>
      <c r="Q213" s="84" t="s">
        <v>622</v>
      </c>
      <c r="R213" s="84" t="s">
        <v>1399</v>
      </c>
      <c r="S213" s="81"/>
      <c r="T213" s="81" t="s">
        <v>1395</v>
      </c>
      <c r="U213" s="81" t="s">
        <v>1396</v>
      </c>
      <c r="V213" s="81">
        <v>38.159999999999997</v>
      </c>
      <c r="W213" s="81">
        <v>-79.819999999999993</v>
      </c>
      <c r="X213" s="81"/>
      <c r="Y213" s="99" t="s">
        <v>1897</v>
      </c>
      <c r="Z213" s="66" t="s">
        <v>2203</v>
      </c>
      <c r="AA213" s="83" t="s">
        <v>49</v>
      </c>
      <c r="AB213" s="84" t="s">
        <v>103</v>
      </c>
      <c r="AC213" s="81" t="s">
        <v>137</v>
      </c>
      <c r="AF213" s="84" t="s">
        <v>589</v>
      </c>
      <c r="AG213" s="84" t="s">
        <v>589</v>
      </c>
      <c r="AH213" s="84" t="s">
        <v>106</v>
      </c>
      <c r="AI213" s="84" t="s">
        <v>276</v>
      </c>
      <c r="AJ213" s="86">
        <v>1</v>
      </c>
      <c r="AK213" s="86">
        <v>1</v>
      </c>
      <c r="AL213" s="86">
        <v>1</v>
      </c>
      <c r="AM213" s="84" t="s">
        <v>338</v>
      </c>
      <c r="AN213" s="84" t="s">
        <v>522</v>
      </c>
      <c r="AO213" s="84" t="s">
        <v>524</v>
      </c>
      <c r="AP213" s="68" t="s">
        <v>2228</v>
      </c>
      <c r="AQ213" s="84" t="s">
        <v>94</v>
      </c>
      <c r="AR213" s="86">
        <v>1</v>
      </c>
      <c r="AS213" s="86">
        <v>8</v>
      </c>
      <c r="AT213" s="86">
        <v>4</v>
      </c>
      <c r="AU213" s="90"/>
      <c r="AV213" s="88">
        <v>1</v>
      </c>
      <c r="AX213" s="84" t="s">
        <v>80</v>
      </c>
      <c r="AY213" s="86">
        <v>1</v>
      </c>
      <c r="AZ213" s="86">
        <v>1</v>
      </c>
      <c r="BA213" s="86">
        <v>8</v>
      </c>
      <c r="BB213" s="86">
        <v>4</v>
      </c>
      <c r="BD213" s="93" t="s">
        <v>124</v>
      </c>
      <c r="BE213" s="84" t="s">
        <v>182</v>
      </c>
      <c r="BF213" s="93" t="s">
        <v>2109</v>
      </c>
      <c r="BG213" s="84" t="s">
        <v>21</v>
      </c>
      <c r="BH213" s="84" t="s">
        <v>81</v>
      </c>
      <c r="BI213" s="84" t="s">
        <v>365</v>
      </c>
      <c r="BJ213" s="89">
        <f t="shared" si="219"/>
        <v>0.83333333333333337</v>
      </c>
      <c r="BK213" s="84">
        <v>10</v>
      </c>
      <c r="BL213" s="84">
        <v>10</v>
      </c>
      <c r="BM213" s="88">
        <v>0.83333333333333337</v>
      </c>
      <c r="BN213" s="84" t="s">
        <v>379</v>
      </c>
      <c r="BO213" s="84" t="s">
        <v>361</v>
      </c>
      <c r="BP213" s="84" t="s">
        <v>64</v>
      </c>
      <c r="BR213" s="81" t="s">
        <v>2116</v>
      </c>
      <c r="BS213" s="81" t="s">
        <v>2179</v>
      </c>
      <c r="BT213" s="84" t="s">
        <v>572</v>
      </c>
      <c r="BU213" s="86">
        <v>11.4</v>
      </c>
      <c r="BV213" s="86"/>
      <c r="BW213" s="114">
        <v>2.6683328128252675</v>
      </c>
      <c r="BX213" s="86">
        <v>8</v>
      </c>
      <c r="BY213" s="86">
        <v>8</v>
      </c>
      <c r="BZ213" s="84" t="s">
        <v>2117</v>
      </c>
      <c r="CA213" s="84" t="s">
        <v>1365</v>
      </c>
      <c r="CB213" s="84" t="s">
        <v>80</v>
      </c>
      <c r="CC213" s="86">
        <v>5.4</v>
      </c>
      <c r="CD213" s="86"/>
      <c r="CE213" s="90">
        <v>1.2</v>
      </c>
      <c r="CF213" s="86">
        <v>8</v>
      </c>
      <c r="CG213" s="86">
        <v>8</v>
      </c>
      <c r="CH213" s="84" t="s">
        <v>2117</v>
      </c>
      <c r="CI213" s="84" t="s">
        <v>1365</v>
      </c>
      <c r="CK213" s="86"/>
      <c r="CL213" s="86"/>
      <c r="CM213" s="86"/>
      <c r="CN213" s="86"/>
      <c r="CO213" s="86"/>
      <c r="CS213" s="86"/>
      <c r="CT213" s="86"/>
      <c r="CU213" s="86"/>
      <c r="CV213" s="86"/>
      <c r="CW213" s="86"/>
      <c r="DA213" s="82"/>
      <c r="DB213" s="82"/>
      <c r="DC213" s="82"/>
      <c r="DD213" s="82"/>
      <c r="DE213" s="82"/>
      <c r="DI213" s="82"/>
      <c r="DJ213" s="82"/>
      <c r="DK213" s="82"/>
      <c r="DL213" s="82"/>
      <c r="DM213" s="82"/>
      <c r="DN213" s="82"/>
      <c r="DQ213" s="82"/>
      <c r="DR213" s="82"/>
      <c r="DS213" s="82"/>
      <c r="DT213" s="82"/>
      <c r="DU213" s="82"/>
      <c r="DY213" s="86"/>
      <c r="DZ213" s="86"/>
      <c r="EA213" s="86"/>
      <c r="EB213" s="86"/>
      <c r="EC213" s="86"/>
      <c r="EG213" s="86"/>
      <c r="EH213" s="86"/>
      <c r="EI213" s="86"/>
      <c r="EJ213" s="86"/>
      <c r="EK213" s="86"/>
      <c r="EN213" s="86">
        <f t="shared" si="211"/>
        <v>11.4</v>
      </c>
      <c r="EO213" s="90">
        <f t="shared" si="212"/>
        <v>2.6683328128252675</v>
      </c>
      <c r="EP213" s="86">
        <f t="shared" si="213"/>
        <v>8</v>
      </c>
      <c r="EQ213" s="86">
        <f t="shared" si="214"/>
        <v>8</v>
      </c>
      <c r="ER213" s="86">
        <f t="shared" si="215"/>
        <v>5.4</v>
      </c>
      <c r="ES213" s="90">
        <f t="shared" si="216"/>
        <v>1.2</v>
      </c>
      <c r="ET213" s="86">
        <f t="shared" si="217"/>
        <v>8</v>
      </c>
      <c r="EU213" s="86">
        <f t="shared" si="218"/>
        <v>8</v>
      </c>
      <c r="EV213" s="86">
        <f t="shared" si="220"/>
        <v>2.0688160865577205</v>
      </c>
      <c r="EW213" s="86">
        <f t="shared" si="221"/>
        <v>2.9002094671369902</v>
      </c>
      <c r="EX213" s="86">
        <f t="shared" si="222"/>
        <v>0.5128504672897195</v>
      </c>
      <c r="EY213" s="86">
        <f t="shared" si="223"/>
        <v>0.94545454545454544</v>
      </c>
      <c r="EZ213" s="83">
        <f t="shared" si="224"/>
        <v>2.7420162234749723</v>
      </c>
      <c r="FA213" s="83">
        <f t="shared" si="225"/>
        <v>0.45842897968641372</v>
      </c>
      <c r="FB213" s="83">
        <f t="shared" si="226"/>
        <v>16</v>
      </c>
      <c r="FC213" s="84" t="s">
        <v>125</v>
      </c>
    </row>
    <row r="214" spans="1:159" s="82" customFormat="1" ht="17.100000000000001" customHeight="1">
      <c r="A214" s="78" t="s">
        <v>1816</v>
      </c>
      <c r="B214" s="81" t="s">
        <v>1401</v>
      </c>
      <c r="C214" s="80" t="str">
        <f t="shared" si="203"/>
        <v>Welch, N. T., Waldrop, T. A., &amp; Buckner, E. R.  2000.  Response of southern Appalachian table mountain pine (Pinus pungens) and pitch pine (P-rigida) stands to prescribed burning. Forest Ecology and Management. 136 (1-3): 185-197.</v>
      </c>
      <c r="D214" s="81" t="s">
        <v>1485</v>
      </c>
      <c r="E214" s="81">
        <v>2000</v>
      </c>
      <c r="F214" s="81" t="s">
        <v>1542</v>
      </c>
      <c r="G214" s="81" t="s">
        <v>20</v>
      </c>
      <c r="H214" s="81" t="s">
        <v>619</v>
      </c>
      <c r="I214" s="81" t="s">
        <v>620</v>
      </c>
      <c r="J214" s="81"/>
      <c r="K214" s="84" t="s">
        <v>621</v>
      </c>
      <c r="L214" s="84" t="s">
        <v>102</v>
      </c>
      <c r="M214" s="65" t="s">
        <v>73</v>
      </c>
      <c r="N214" s="84" t="s">
        <v>389</v>
      </c>
      <c r="O214" s="84"/>
      <c r="P214" s="81" t="s">
        <v>16</v>
      </c>
      <c r="Q214" s="84" t="s">
        <v>622</v>
      </c>
      <c r="R214" s="84" t="s">
        <v>1399</v>
      </c>
      <c r="S214" s="81"/>
      <c r="T214" s="81" t="s">
        <v>1395</v>
      </c>
      <c r="U214" s="81" t="s">
        <v>1396</v>
      </c>
      <c r="V214" s="81">
        <v>38.159999999999997</v>
      </c>
      <c r="W214" s="81">
        <v>-79.819999999999993</v>
      </c>
      <c r="X214" s="81"/>
      <c r="Y214" s="99" t="s">
        <v>1897</v>
      </c>
      <c r="Z214" s="66" t="s">
        <v>2203</v>
      </c>
      <c r="AA214" s="83" t="s">
        <v>49</v>
      </c>
      <c r="AB214" s="84" t="s">
        <v>103</v>
      </c>
      <c r="AC214" s="81" t="s">
        <v>137</v>
      </c>
      <c r="AD214" s="84"/>
      <c r="AE214" s="84"/>
      <c r="AF214" s="84" t="s">
        <v>589</v>
      </c>
      <c r="AG214" s="84" t="s">
        <v>589</v>
      </c>
      <c r="AH214" s="84" t="s">
        <v>106</v>
      </c>
      <c r="AI214" s="84" t="s">
        <v>276</v>
      </c>
      <c r="AJ214" s="86">
        <v>1</v>
      </c>
      <c r="AK214" s="86">
        <v>1</v>
      </c>
      <c r="AL214" s="86">
        <v>1</v>
      </c>
      <c r="AM214" s="84" t="s">
        <v>338</v>
      </c>
      <c r="AN214" s="84" t="s">
        <v>521</v>
      </c>
      <c r="AO214" s="84" t="s">
        <v>526</v>
      </c>
      <c r="AP214" s="68" t="s">
        <v>2227</v>
      </c>
      <c r="AQ214" s="84" t="s">
        <v>94</v>
      </c>
      <c r="AR214" s="86">
        <v>1</v>
      </c>
      <c r="AS214" s="86">
        <v>8</v>
      </c>
      <c r="AT214" s="86"/>
      <c r="AU214" s="90"/>
      <c r="AV214" s="88">
        <v>1</v>
      </c>
      <c r="AW214" s="84"/>
      <c r="AX214" s="84" t="s">
        <v>80</v>
      </c>
      <c r="AY214" s="86">
        <v>1</v>
      </c>
      <c r="AZ214" s="86">
        <v>1</v>
      </c>
      <c r="BA214" s="86">
        <v>8</v>
      </c>
      <c r="BB214" s="86"/>
      <c r="BC214" s="84"/>
      <c r="BD214" s="93" t="s">
        <v>124</v>
      </c>
      <c r="BE214" s="84" t="s">
        <v>182</v>
      </c>
      <c r="BF214" s="93" t="s">
        <v>112</v>
      </c>
      <c r="BG214" s="84" t="s">
        <v>21</v>
      </c>
      <c r="BH214" s="84" t="s">
        <v>81</v>
      </c>
      <c r="BI214" s="84" t="s">
        <v>623</v>
      </c>
      <c r="BJ214" s="89">
        <f t="shared" si="219"/>
        <v>0.25</v>
      </c>
      <c r="BK214" s="84">
        <v>3</v>
      </c>
      <c r="BL214" s="84">
        <v>3</v>
      </c>
      <c r="BM214" s="88">
        <v>0.25</v>
      </c>
      <c r="BN214" s="84" t="s">
        <v>379</v>
      </c>
      <c r="BO214" s="84" t="s">
        <v>361</v>
      </c>
      <c r="BP214" s="84" t="s">
        <v>64</v>
      </c>
      <c r="BQ214" s="84"/>
      <c r="BR214" s="91" t="s">
        <v>1766</v>
      </c>
      <c r="BS214" s="91" t="s">
        <v>2176</v>
      </c>
      <c r="BT214" s="84" t="s">
        <v>572</v>
      </c>
      <c r="BU214" s="86">
        <v>2.8</v>
      </c>
      <c r="BV214" s="86">
        <v>0.6</v>
      </c>
      <c r="BW214" s="90">
        <v>1.697056274847714</v>
      </c>
      <c r="BX214" s="86">
        <v>8</v>
      </c>
      <c r="BY214" s="86">
        <v>8</v>
      </c>
      <c r="BZ214" s="84" t="s">
        <v>624</v>
      </c>
      <c r="CA214" s="84" t="s">
        <v>1365</v>
      </c>
      <c r="CB214" s="84" t="s">
        <v>80</v>
      </c>
      <c r="CC214" s="86">
        <v>5.9</v>
      </c>
      <c r="CD214" s="86">
        <v>0.4</v>
      </c>
      <c r="CE214" s="90">
        <v>1.1313708498984762</v>
      </c>
      <c r="CF214" s="86">
        <v>8</v>
      </c>
      <c r="CG214" s="86">
        <v>8</v>
      </c>
      <c r="CH214" s="84" t="s">
        <v>624</v>
      </c>
      <c r="CI214" s="84" t="s">
        <v>1365</v>
      </c>
      <c r="CJ214" s="84"/>
      <c r="CK214" s="86"/>
      <c r="CL214" s="86"/>
      <c r="CM214" s="86"/>
      <c r="CN214" s="86"/>
      <c r="CO214" s="86"/>
      <c r="CP214" s="84"/>
      <c r="CQ214" s="84"/>
      <c r="CR214" s="84"/>
      <c r="CS214" s="86"/>
      <c r="CT214" s="86"/>
      <c r="CU214" s="86"/>
      <c r="CV214" s="86"/>
      <c r="CW214" s="86"/>
      <c r="CX214" s="84"/>
      <c r="CY214" s="84"/>
      <c r="CZ214" s="84"/>
      <c r="DF214" s="84"/>
      <c r="DG214" s="84"/>
      <c r="DH214" s="84"/>
      <c r="DO214" s="84"/>
      <c r="DP214" s="117"/>
      <c r="DV214" s="84"/>
      <c r="DW214" s="84"/>
      <c r="DX214" s="84"/>
      <c r="DY214" s="86"/>
      <c r="DZ214" s="86"/>
      <c r="EA214" s="86"/>
      <c r="EB214" s="86"/>
      <c r="EC214" s="86"/>
      <c r="ED214" s="84"/>
      <c r="EE214" s="84"/>
      <c r="EF214" s="84"/>
      <c r="EG214" s="86"/>
      <c r="EH214" s="86"/>
      <c r="EI214" s="86"/>
      <c r="EJ214" s="86"/>
      <c r="EK214" s="86"/>
      <c r="EL214" s="84"/>
      <c r="EM214" s="84"/>
      <c r="EN214" s="86">
        <f t="shared" si="211"/>
        <v>2.8</v>
      </c>
      <c r="EO214" s="90">
        <f t="shared" si="212"/>
        <v>1.697056274847714</v>
      </c>
      <c r="EP214" s="86">
        <f t="shared" si="213"/>
        <v>8</v>
      </c>
      <c r="EQ214" s="86">
        <f t="shared" si="214"/>
        <v>8</v>
      </c>
      <c r="ER214" s="86">
        <f t="shared" si="215"/>
        <v>5.9</v>
      </c>
      <c r="ES214" s="90">
        <f t="shared" si="216"/>
        <v>1.1313708498984762</v>
      </c>
      <c r="ET214" s="86">
        <f t="shared" si="217"/>
        <v>8</v>
      </c>
      <c r="EU214" s="86">
        <f t="shared" si="218"/>
        <v>8</v>
      </c>
      <c r="EV214" s="86">
        <f t="shared" si="220"/>
        <v>1.4422205101855958</v>
      </c>
      <c r="EW214" s="86">
        <f t="shared" si="221"/>
        <v>-2.1494632603727633</v>
      </c>
      <c r="EX214" s="86">
        <f t="shared" si="222"/>
        <v>0.39438100961538469</v>
      </c>
      <c r="EY214" s="86">
        <f t="shared" si="223"/>
        <v>0.94545454545454544</v>
      </c>
      <c r="EZ214" s="83">
        <f t="shared" si="224"/>
        <v>-2.0322198098069761</v>
      </c>
      <c r="FA214" s="83">
        <f t="shared" si="225"/>
        <v>0.35253099173553726</v>
      </c>
      <c r="FB214" s="83">
        <f t="shared" si="226"/>
        <v>16</v>
      </c>
      <c r="FC214" s="84" t="s">
        <v>125</v>
      </c>
    </row>
    <row r="215" spans="1:159" s="82" customFormat="1" ht="17.100000000000001" customHeight="1">
      <c r="A215" s="78" t="s">
        <v>1816</v>
      </c>
      <c r="B215" s="81" t="s">
        <v>1401</v>
      </c>
      <c r="C215" s="80" t="str">
        <f t="shared" si="203"/>
        <v>Welch, N. T., Waldrop, T. A., &amp; Buckner, E. R.  2000.  Response of southern Appalachian table mountain pine (Pinus pungens) and pitch pine (P-rigida) stands to prescribed burning. Forest Ecology and Management. 136 (1-3): 185-197.</v>
      </c>
      <c r="D215" s="81" t="s">
        <v>1485</v>
      </c>
      <c r="E215" s="81">
        <v>2000</v>
      </c>
      <c r="F215" s="81" t="s">
        <v>1542</v>
      </c>
      <c r="G215" s="81" t="s">
        <v>20</v>
      </c>
      <c r="H215" s="81" t="s">
        <v>619</v>
      </c>
      <c r="I215" s="81" t="s">
        <v>620</v>
      </c>
      <c r="J215" s="81"/>
      <c r="K215" s="84" t="s">
        <v>621</v>
      </c>
      <c r="L215" s="84" t="s">
        <v>102</v>
      </c>
      <c r="M215" s="65" t="s">
        <v>73</v>
      </c>
      <c r="N215" s="84" t="s">
        <v>389</v>
      </c>
      <c r="O215" s="84"/>
      <c r="P215" s="81" t="s">
        <v>16</v>
      </c>
      <c r="Q215" s="84" t="s">
        <v>622</v>
      </c>
      <c r="R215" s="84" t="s">
        <v>1399</v>
      </c>
      <c r="S215" s="81"/>
      <c r="T215" s="81" t="s">
        <v>1395</v>
      </c>
      <c r="U215" s="81" t="s">
        <v>1396</v>
      </c>
      <c r="V215" s="81">
        <v>38.159999999999997</v>
      </c>
      <c r="W215" s="81">
        <v>-79.819999999999993</v>
      </c>
      <c r="X215" s="81"/>
      <c r="Y215" s="99" t="s">
        <v>1897</v>
      </c>
      <c r="Z215" s="66" t="s">
        <v>2203</v>
      </c>
      <c r="AA215" s="83" t="s">
        <v>49</v>
      </c>
      <c r="AB215" s="84" t="s">
        <v>103</v>
      </c>
      <c r="AC215" s="81" t="s">
        <v>137</v>
      </c>
      <c r="AD215" s="84"/>
      <c r="AE215" s="84"/>
      <c r="AF215" s="84" t="s">
        <v>589</v>
      </c>
      <c r="AG215" s="84" t="s">
        <v>589</v>
      </c>
      <c r="AH215" s="84" t="s">
        <v>106</v>
      </c>
      <c r="AI215" s="84" t="s">
        <v>276</v>
      </c>
      <c r="AJ215" s="86">
        <v>1</v>
      </c>
      <c r="AK215" s="86">
        <v>1</v>
      </c>
      <c r="AL215" s="86">
        <v>1</v>
      </c>
      <c r="AM215" s="84" t="s">
        <v>338</v>
      </c>
      <c r="AN215" s="84" t="s">
        <v>521</v>
      </c>
      <c r="AO215" s="84" t="s">
        <v>526</v>
      </c>
      <c r="AP215" s="68" t="s">
        <v>2227</v>
      </c>
      <c r="AQ215" s="84" t="s">
        <v>94</v>
      </c>
      <c r="AR215" s="86">
        <v>1</v>
      </c>
      <c r="AS215" s="86">
        <v>8</v>
      </c>
      <c r="AT215" s="86">
        <v>2</v>
      </c>
      <c r="AU215" s="90"/>
      <c r="AV215" s="88">
        <v>1</v>
      </c>
      <c r="AW215" s="84"/>
      <c r="AX215" s="84" t="s">
        <v>80</v>
      </c>
      <c r="AY215" s="86">
        <v>1</v>
      </c>
      <c r="AZ215" s="86">
        <v>1</v>
      </c>
      <c r="BA215" s="86">
        <v>8</v>
      </c>
      <c r="BB215" s="86">
        <v>2</v>
      </c>
      <c r="BC215" s="84"/>
      <c r="BD215" s="93" t="s">
        <v>124</v>
      </c>
      <c r="BE215" s="84" t="s">
        <v>182</v>
      </c>
      <c r="BF215" s="93" t="s">
        <v>387</v>
      </c>
      <c r="BG215" s="84" t="s">
        <v>21</v>
      </c>
      <c r="BH215" s="84" t="s">
        <v>81</v>
      </c>
      <c r="BI215" s="84" t="s">
        <v>625</v>
      </c>
      <c r="BJ215" s="89">
        <f t="shared" si="219"/>
        <v>0.25</v>
      </c>
      <c r="BK215" s="84">
        <v>3</v>
      </c>
      <c r="BL215" s="84">
        <v>3</v>
      </c>
      <c r="BM215" s="88">
        <v>0.25</v>
      </c>
      <c r="BN215" s="84" t="s">
        <v>379</v>
      </c>
      <c r="BO215" s="84" t="s">
        <v>361</v>
      </c>
      <c r="BP215" s="84" t="s">
        <v>64</v>
      </c>
      <c r="BQ215" s="84"/>
      <c r="BR215" s="166" t="s">
        <v>626</v>
      </c>
      <c r="BS215" s="166" t="s">
        <v>2141</v>
      </c>
      <c r="BT215" s="84" t="s">
        <v>572</v>
      </c>
      <c r="BU215" s="86">
        <v>3.7</v>
      </c>
      <c r="BV215" s="86">
        <v>0.3</v>
      </c>
      <c r="BW215" s="90">
        <v>0.84852813742385702</v>
      </c>
      <c r="BX215" s="86">
        <v>8</v>
      </c>
      <c r="BY215" s="86">
        <v>8</v>
      </c>
      <c r="BZ215" s="84" t="s">
        <v>624</v>
      </c>
      <c r="CA215" s="84" t="s">
        <v>1365</v>
      </c>
      <c r="CB215" s="84" t="s">
        <v>80</v>
      </c>
      <c r="CC215" s="86">
        <v>2.7</v>
      </c>
      <c r="CD215" s="86">
        <v>4.5999999999999996</v>
      </c>
      <c r="CE215" s="90">
        <v>13.010764773832474</v>
      </c>
      <c r="CF215" s="86">
        <v>8</v>
      </c>
      <c r="CG215" s="86">
        <v>8</v>
      </c>
      <c r="CH215" s="84" t="s">
        <v>624</v>
      </c>
      <c r="CI215" s="84" t="s">
        <v>1365</v>
      </c>
      <c r="CJ215" s="84"/>
      <c r="CK215" s="86"/>
      <c r="CL215" s="86"/>
      <c r="CM215" s="86"/>
      <c r="CN215" s="86"/>
      <c r="CO215" s="86"/>
      <c r="CP215" s="84"/>
      <c r="CQ215" s="84"/>
      <c r="CR215" s="84"/>
      <c r="CS215" s="86"/>
      <c r="CT215" s="86"/>
      <c r="CU215" s="86"/>
      <c r="CV215" s="86"/>
      <c r="CW215" s="86"/>
      <c r="CX215" s="84"/>
      <c r="CY215" s="84"/>
      <c r="CZ215" s="84"/>
      <c r="DF215" s="84"/>
      <c r="DG215" s="84"/>
      <c r="DH215" s="84"/>
      <c r="DO215" s="84"/>
      <c r="DP215" s="166"/>
      <c r="DV215" s="84"/>
      <c r="DW215" s="84"/>
      <c r="DX215" s="84"/>
      <c r="DY215" s="86"/>
      <c r="DZ215" s="86"/>
      <c r="EA215" s="86"/>
      <c r="EB215" s="86"/>
      <c r="EC215" s="86"/>
      <c r="ED215" s="84"/>
      <c r="EE215" s="84"/>
      <c r="EF215" s="84"/>
      <c r="EG215" s="86"/>
      <c r="EH215" s="86"/>
      <c r="EI215" s="86"/>
      <c r="EJ215" s="86"/>
      <c r="EK215" s="86"/>
      <c r="EL215" s="84"/>
      <c r="EM215" s="84"/>
      <c r="EN215" s="86">
        <f t="shared" si="211"/>
        <v>3.7</v>
      </c>
      <c r="EO215" s="90">
        <f t="shared" si="212"/>
        <v>0.84852813742385702</v>
      </c>
      <c r="EP215" s="86">
        <f t="shared" si="213"/>
        <v>8</v>
      </c>
      <c r="EQ215" s="86">
        <f t="shared" si="214"/>
        <v>8</v>
      </c>
      <c r="ER215" s="86">
        <f t="shared" si="215"/>
        <v>2.7</v>
      </c>
      <c r="ES215" s="90">
        <f t="shared" si="216"/>
        <v>13.010764773832474</v>
      </c>
      <c r="ET215" s="86">
        <f t="shared" si="217"/>
        <v>8</v>
      </c>
      <c r="EU215" s="86">
        <f t="shared" si="218"/>
        <v>8</v>
      </c>
      <c r="EV215" s="86">
        <f t="shared" si="220"/>
        <v>9.2195444572928871</v>
      </c>
      <c r="EW215" s="86">
        <f t="shared" si="221"/>
        <v>0.10846522890932808</v>
      </c>
      <c r="EX215" s="86">
        <f t="shared" si="222"/>
        <v>0.25036764705882353</v>
      </c>
      <c r="EY215" s="86">
        <f t="shared" si="223"/>
        <v>0.94545454545454544</v>
      </c>
      <c r="EZ215" s="83">
        <f t="shared" si="224"/>
        <v>0.10254894369609201</v>
      </c>
      <c r="FA215" s="83">
        <f t="shared" si="225"/>
        <v>0.2237997083130773</v>
      </c>
      <c r="FB215" s="83">
        <f t="shared" si="226"/>
        <v>16</v>
      </c>
      <c r="FC215" s="84" t="s">
        <v>125</v>
      </c>
    </row>
    <row r="216" spans="1:159" s="84" customFormat="1" ht="17.100000000000001" customHeight="1">
      <c r="A216" s="144" t="s">
        <v>1816</v>
      </c>
      <c r="B216" s="156" t="s">
        <v>1401</v>
      </c>
      <c r="C216" s="80" t="str">
        <f t="shared" si="203"/>
        <v>Welch, N. T., Waldrop, T. A., &amp; Buckner, E. R.  2000.  Response of southern Appalachian table mountain pine (Pinus pungens) and pitch pine (P-rigida) stands to prescribed burning. Forest Ecology and Management. 136 (1-3): 185-197.</v>
      </c>
      <c r="D216" s="99" t="s">
        <v>1485</v>
      </c>
      <c r="E216" s="99">
        <v>2000</v>
      </c>
      <c r="F216" s="99" t="s">
        <v>1542</v>
      </c>
      <c r="G216" s="99" t="s">
        <v>20</v>
      </c>
      <c r="H216" s="99" t="s">
        <v>619</v>
      </c>
      <c r="I216" s="99" t="s">
        <v>620</v>
      </c>
      <c r="J216" s="81"/>
      <c r="K216" s="164" t="s">
        <v>621</v>
      </c>
      <c r="L216" s="84" t="s">
        <v>102</v>
      </c>
      <c r="M216" s="65" t="s">
        <v>73</v>
      </c>
      <c r="N216" s="84" t="s">
        <v>389</v>
      </c>
      <c r="P216" s="156" t="s">
        <v>16</v>
      </c>
      <c r="Q216" s="164" t="s">
        <v>622</v>
      </c>
      <c r="R216" s="164" t="s">
        <v>1399</v>
      </c>
      <c r="S216" s="156"/>
      <c r="T216" s="156" t="s">
        <v>1395</v>
      </c>
      <c r="U216" s="156" t="s">
        <v>1396</v>
      </c>
      <c r="V216" s="99">
        <v>38.159999999999997</v>
      </c>
      <c r="W216" s="99">
        <v>-79.819999999999993</v>
      </c>
      <c r="X216" s="99"/>
      <c r="Y216" s="99" t="s">
        <v>1897</v>
      </c>
      <c r="Z216" s="66" t="s">
        <v>2203</v>
      </c>
      <c r="AA216" s="83" t="s">
        <v>49</v>
      </c>
      <c r="AB216" s="84" t="s">
        <v>103</v>
      </c>
      <c r="AC216" s="81" t="s">
        <v>137</v>
      </c>
      <c r="AF216" s="84" t="s">
        <v>589</v>
      </c>
      <c r="AG216" s="84" t="s">
        <v>589</v>
      </c>
      <c r="AH216" s="84" t="s">
        <v>106</v>
      </c>
      <c r="AI216" s="84" t="s">
        <v>276</v>
      </c>
      <c r="AJ216" s="86">
        <v>1</v>
      </c>
      <c r="AK216" s="86">
        <v>1</v>
      </c>
      <c r="AL216" s="86">
        <v>1</v>
      </c>
      <c r="AM216" s="84" t="s">
        <v>338</v>
      </c>
      <c r="AN216" s="84" t="s">
        <v>521</v>
      </c>
      <c r="AO216" s="84" t="s">
        <v>526</v>
      </c>
      <c r="AP216" s="68" t="s">
        <v>2227</v>
      </c>
      <c r="AQ216" s="84" t="s">
        <v>94</v>
      </c>
      <c r="AR216" s="86">
        <v>1</v>
      </c>
      <c r="AS216" s="86">
        <v>8</v>
      </c>
      <c r="AT216" s="86">
        <v>4</v>
      </c>
      <c r="AU216" s="90"/>
      <c r="AV216" s="88">
        <v>1</v>
      </c>
      <c r="AX216" s="84" t="s">
        <v>80</v>
      </c>
      <c r="AY216" s="86">
        <v>1</v>
      </c>
      <c r="AZ216" s="86">
        <v>1</v>
      </c>
      <c r="BA216" s="86">
        <v>8</v>
      </c>
      <c r="BB216" s="86">
        <v>4</v>
      </c>
      <c r="BD216" s="93" t="s">
        <v>124</v>
      </c>
      <c r="BE216" s="84" t="s">
        <v>182</v>
      </c>
      <c r="BF216" s="93" t="s">
        <v>386</v>
      </c>
      <c r="BG216" s="84" t="s">
        <v>21</v>
      </c>
      <c r="BH216" s="84" t="s">
        <v>81</v>
      </c>
      <c r="BI216" s="84" t="s">
        <v>365</v>
      </c>
      <c r="BJ216" s="89">
        <f t="shared" si="219"/>
        <v>0.25</v>
      </c>
      <c r="BK216" s="84">
        <v>3</v>
      </c>
      <c r="BL216" s="84">
        <v>3</v>
      </c>
      <c r="BM216" s="88">
        <v>0.25</v>
      </c>
      <c r="BN216" s="84" t="s">
        <v>379</v>
      </c>
      <c r="BO216" s="84" t="s">
        <v>361</v>
      </c>
      <c r="BP216" s="84" t="s">
        <v>64</v>
      </c>
      <c r="BR216" s="81" t="s">
        <v>627</v>
      </c>
      <c r="BS216" s="81" t="s">
        <v>2142</v>
      </c>
      <c r="BT216" s="84" t="s">
        <v>572</v>
      </c>
      <c r="BU216" s="86">
        <v>4.3</v>
      </c>
      <c r="BV216" s="86">
        <v>0.4</v>
      </c>
      <c r="BW216" s="90">
        <v>1.1313708498984762</v>
      </c>
      <c r="BX216" s="86">
        <v>8</v>
      </c>
      <c r="BY216" s="86">
        <v>8</v>
      </c>
      <c r="BZ216" s="84" t="s">
        <v>624</v>
      </c>
      <c r="CA216" s="84" t="s">
        <v>1365</v>
      </c>
      <c r="CB216" s="84" t="s">
        <v>80</v>
      </c>
      <c r="CC216" s="86">
        <v>2.5</v>
      </c>
      <c r="CD216" s="86">
        <v>0.2</v>
      </c>
      <c r="CE216" s="90">
        <v>0.56568542494923812</v>
      </c>
      <c r="CF216" s="86">
        <v>8</v>
      </c>
      <c r="CG216" s="86">
        <v>8</v>
      </c>
      <c r="CH216" s="84" t="s">
        <v>624</v>
      </c>
      <c r="CI216" s="84" t="s">
        <v>1365</v>
      </c>
      <c r="CK216" s="86"/>
      <c r="CL216" s="86"/>
      <c r="CM216" s="86"/>
      <c r="CN216" s="86"/>
      <c r="CO216" s="86"/>
      <c r="CS216" s="86"/>
      <c r="CT216" s="86"/>
      <c r="CU216" s="115"/>
      <c r="CV216" s="86"/>
      <c r="CW216" s="86"/>
      <c r="DA216" s="82"/>
      <c r="DB216" s="82"/>
      <c r="DC216" s="82"/>
      <c r="DD216" s="82"/>
      <c r="DE216" s="82"/>
      <c r="DI216" s="82"/>
      <c r="DJ216" s="82"/>
      <c r="DK216" s="82"/>
      <c r="DL216" s="82"/>
      <c r="DM216" s="82"/>
      <c r="DN216" s="82"/>
      <c r="DP216" s="117"/>
      <c r="DQ216" s="185"/>
      <c r="DR216" s="185"/>
      <c r="DS216" s="185"/>
      <c r="DT216" s="185"/>
      <c r="DU216" s="185"/>
      <c r="DW216" s="177"/>
      <c r="DY216" s="86"/>
      <c r="DZ216" s="86"/>
      <c r="EA216" s="86"/>
      <c r="EB216" s="184"/>
      <c r="EC216" s="184"/>
      <c r="EG216" s="86"/>
      <c r="EH216" s="86"/>
      <c r="EI216" s="86"/>
      <c r="EJ216" s="184"/>
      <c r="EK216" s="184"/>
      <c r="EN216" s="86">
        <f t="shared" si="211"/>
        <v>4.3</v>
      </c>
      <c r="EO216" s="90">
        <f t="shared" si="212"/>
        <v>1.1313708498984762</v>
      </c>
      <c r="EP216" s="86">
        <f t="shared" si="213"/>
        <v>8</v>
      </c>
      <c r="EQ216" s="86">
        <f t="shared" si="214"/>
        <v>8</v>
      </c>
      <c r="ER216" s="86">
        <f t="shared" si="215"/>
        <v>2.5</v>
      </c>
      <c r="ES216" s="90">
        <f t="shared" si="216"/>
        <v>0.56568542494923812</v>
      </c>
      <c r="ET216" s="86">
        <f t="shared" si="217"/>
        <v>8</v>
      </c>
      <c r="EU216" s="86">
        <f t="shared" si="218"/>
        <v>8</v>
      </c>
      <c r="EV216" s="86">
        <f t="shared" si="220"/>
        <v>0.89442719099991597</v>
      </c>
      <c r="EW216" s="86">
        <f t="shared" si="221"/>
        <v>2.0124611797498102</v>
      </c>
      <c r="EX216" s="86">
        <f t="shared" si="222"/>
        <v>0.37656249999999991</v>
      </c>
      <c r="EY216" s="86">
        <f t="shared" si="223"/>
        <v>0.94545454545454544</v>
      </c>
      <c r="EZ216" s="83">
        <f t="shared" si="224"/>
        <v>1.902690569945275</v>
      </c>
      <c r="FA216" s="83">
        <f t="shared" si="225"/>
        <v>0.33660330578512387</v>
      </c>
      <c r="FB216" s="83">
        <f t="shared" si="226"/>
        <v>16</v>
      </c>
      <c r="FC216" s="84" t="s">
        <v>125</v>
      </c>
    </row>
    <row r="217" spans="1:159" s="84" customFormat="1" ht="17.100000000000001" customHeight="1">
      <c r="A217" s="144" t="s">
        <v>1816</v>
      </c>
      <c r="B217" s="156" t="s">
        <v>1401</v>
      </c>
      <c r="C217" s="80" t="str">
        <f t="shared" si="203"/>
        <v>Welch, N. T., Waldrop, T. A., &amp; Buckner, E. R.  2000.  Response of southern Appalachian table mountain pine (Pinus pungens) and pitch pine (P-rigida) stands to prescribed burning. Forest Ecology and Management. 136 (1-3): 185-197.</v>
      </c>
      <c r="D217" s="99" t="s">
        <v>1485</v>
      </c>
      <c r="E217" s="99">
        <v>2000</v>
      </c>
      <c r="F217" s="99" t="s">
        <v>1542</v>
      </c>
      <c r="G217" s="99" t="s">
        <v>20</v>
      </c>
      <c r="H217" s="99" t="s">
        <v>619</v>
      </c>
      <c r="I217" s="99" t="s">
        <v>620</v>
      </c>
      <c r="J217" s="81"/>
      <c r="K217" s="164" t="s">
        <v>621</v>
      </c>
      <c r="L217" s="84" t="s">
        <v>102</v>
      </c>
      <c r="M217" s="65" t="s">
        <v>73</v>
      </c>
      <c r="N217" s="84" t="s">
        <v>389</v>
      </c>
      <c r="P217" s="156" t="s">
        <v>16</v>
      </c>
      <c r="Q217" s="164" t="s">
        <v>622</v>
      </c>
      <c r="R217" s="164" t="s">
        <v>1399</v>
      </c>
      <c r="S217" s="156"/>
      <c r="T217" s="156" t="s">
        <v>1395</v>
      </c>
      <c r="U217" s="156" t="s">
        <v>1396</v>
      </c>
      <c r="V217" s="99">
        <v>38.159999999999997</v>
      </c>
      <c r="W217" s="99">
        <v>-79.819999999999993</v>
      </c>
      <c r="X217" s="99"/>
      <c r="Y217" s="99" t="s">
        <v>1897</v>
      </c>
      <c r="Z217" s="66" t="s">
        <v>2203</v>
      </c>
      <c r="AA217" s="83" t="s">
        <v>49</v>
      </c>
      <c r="AB217" s="84" t="s">
        <v>103</v>
      </c>
      <c r="AC217" s="81" t="s">
        <v>137</v>
      </c>
      <c r="AF217" s="84" t="s">
        <v>589</v>
      </c>
      <c r="AG217" s="84" t="s">
        <v>589</v>
      </c>
      <c r="AH217" s="84" t="s">
        <v>106</v>
      </c>
      <c r="AI217" s="84" t="s">
        <v>276</v>
      </c>
      <c r="AJ217" s="86">
        <v>1</v>
      </c>
      <c r="AK217" s="86">
        <v>1</v>
      </c>
      <c r="AL217" s="86">
        <v>1</v>
      </c>
      <c r="AM217" s="84" t="s">
        <v>338</v>
      </c>
      <c r="AN217" s="84" t="s">
        <v>521</v>
      </c>
      <c r="AO217" s="84" t="s">
        <v>526</v>
      </c>
      <c r="AP217" s="68" t="s">
        <v>2227</v>
      </c>
      <c r="AQ217" s="84" t="s">
        <v>94</v>
      </c>
      <c r="AR217" s="86">
        <v>1</v>
      </c>
      <c r="AS217" s="86">
        <v>8</v>
      </c>
      <c r="AT217" s="86">
        <v>4</v>
      </c>
      <c r="AU217" s="90"/>
      <c r="AV217" s="88">
        <v>1</v>
      </c>
      <c r="AX217" s="84" t="s">
        <v>80</v>
      </c>
      <c r="AY217" s="86">
        <v>1</v>
      </c>
      <c r="AZ217" s="86">
        <v>1</v>
      </c>
      <c r="BA217" s="86">
        <v>8</v>
      </c>
      <c r="BB217" s="86">
        <v>4</v>
      </c>
      <c r="BD217" s="93" t="s">
        <v>124</v>
      </c>
      <c r="BE217" s="84" t="s">
        <v>182</v>
      </c>
      <c r="BF217" s="93" t="s">
        <v>2109</v>
      </c>
      <c r="BG217" s="84" t="s">
        <v>21</v>
      </c>
      <c r="BH217" s="84" t="s">
        <v>81</v>
      </c>
      <c r="BI217" s="84" t="s">
        <v>365</v>
      </c>
      <c r="BJ217" s="89">
        <f t="shared" si="219"/>
        <v>0.25</v>
      </c>
      <c r="BK217" s="84">
        <v>3</v>
      </c>
      <c r="BL217" s="84">
        <v>3</v>
      </c>
      <c r="BM217" s="88">
        <v>0.25</v>
      </c>
      <c r="BN217" s="84" t="s">
        <v>379</v>
      </c>
      <c r="BO217" s="84" t="s">
        <v>361</v>
      </c>
      <c r="BP217" s="84" t="s">
        <v>64</v>
      </c>
      <c r="BR217" s="81" t="s">
        <v>2116</v>
      </c>
      <c r="BS217" s="81" t="s">
        <v>2179</v>
      </c>
      <c r="BT217" s="84" t="s">
        <v>572</v>
      </c>
      <c r="BU217" s="86">
        <v>8</v>
      </c>
      <c r="BV217" s="86"/>
      <c r="BW217" s="90">
        <v>1.4142135623730951</v>
      </c>
      <c r="BX217" s="86">
        <v>8</v>
      </c>
      <c r="BY217" s="86">
        <v>8</v>
      </c>
      <c r="BZ217" s="84" t="s">
        <v>2117</v>
      </c>
      <c r="CA217" s="84" t="s">
        <v>1365</v>
      </c>
      <c r="CB217" s="84" t="s">
        <v>80</v>
      </c>
      <c r="CC217" s="86">
        <v>5.2</v>
      </c>
      <c r="CD217" s="86"/>
      <c r="CE217" s="90">
        <v>13.023056476879765</v>
      </c>
      <c r="CF217" s="86">
        <v>8</v>
      </c>
      <c r="CG217" s="86">
        <v>8</v>
      </c>
      <c r="CH217" s="84" t="s">
        <v>2117</v>
      </c>
      <c r="CI217" s="84" t="s">
        <v>1365</v>
      </c>
      <c r="CK217" s="86"/>
      <c r="CL217" s="86"/>
      <c r="CM217" s="86"/>
      <c r="CN217" s="86"/>
      <c r="CO217" s="86"/>
      <c r="CS217" s="86"/>
      <c r="CT217" s="86"/>
      <c r="CU217" s="86"/>
      <c r="CV217" s="86"/>
      <c r="CW217" s="86"/>
      <c r="DA217" s="82"/>
      <c r="DB217" s="82"/>
      <c r="DC217" s="82"/>
      <c r="DD217" s="82"/>
      <c r="DE217" s="82"/>
      <c r="DI217" s="82"/>
      <c r="DJ217" s="82"/>
      <c r="DK217" s="82"/>
      <c r="DL217" s="82"/>
      <c r="DM217" s="82"/>
      <c r="DN217" s="82"/>
      <c r="DP217" s="166"/>
      <c r="DQ217" s="187"/>
      <c r="DR217" s="187"/>
      <c r="DS217" s="187"/>
      <c r="DT217" s="187"/>
      <c r="DU217" s="187"/>
      <c r="DW217" s="200"/>
      <c r="DY217" s="86"/>
      <c r="DZ217" s="86"/>
      <c r="EA217" s="86"/>
      <c r="EB217" s="186"/>
      <c r="EC217" s="186"/>
      <c r="EG217" s="86"/>
      <c r="EH217" s="86"/>
      <c r="EI217" s="86"/>
      <c r="EJ217" s="186"/>
      <c r="EK217" s="186"/>
      <c r="EN217" s="86">
        <f t="shared" si="211"/>
        <v>8</v>
      </c>
      <c r="EO217" s="90">
        <f t="shared" si="212"/>
        <v>1.4142135623730951</v>
      </c>
      <c r="EP217" s="86">
        <f t="shared" si="213"/>
        <v>8</v>
      </c>
      <c r="EQ217" s="86">
        <f t="shared" si="214"/>
        <v>8</v>
      </c>
      <c r="ER217" s="86">
        <f t="shared" si="215"/>
        <v>5.2</v>
      </c>
      <c r="ES217" s="90">
        <f t="shared" si="216"/>
        <v>13.023056476879765</v>
      </c>
      <c r="ET217" s="86">
        <f t="shared" si="217"/>
        <v>8</v>
      </c>
      <c r="EU217" s="86">
        <f t="shared" si="218"/>
        <v>8</v>
      </c>
      <c r="EV217" s="86">
        <f t="shared" si="220"/>
        <v>9.2628289415275287</v>
      </c>
      <c r="EW217" s="86">
        <f t="shared" si="221"/>
        <v>0.30228346196127132</v>
      </c>
      <c r="EX217" s="86">
        <f t="shared" si="222"/>
        <v>0.25285547785547785</v>
      </c>
      <c r="EY217" s="86">
        <f t="shared" si="223"/>
        <v>0.94545454545454544</v>
      </c>
      <c r="EZ217" s="83">
        <f t="shared" si="224"/>
        <v>0.28579527312702013</v>
      </c>
      <c r="FA217" s="83">
        <f t="shared" si="225"/>
        <v>0.22602354119709489</v>
      </c>
      <c r="FB217" s="83">
        <f t="shared" si="226"/>
        <v>16</v>
      </c>
      <c r="FC217" s="84" t="s">
        <v>125</v>
      </c>
    </row>
    <row r="218" spans="1:159" ht="17.100000000000001" customHeight="1">
      <c r="A218" s="144" t="s">
        <v>1824</v>
      </c>
      <c r="B218" s="155" t="s">
        <v>303</v>
      </c>
      <c r="C218" s="80" t="str">
        <f t="shared" si="203"/>
        <v>White, A. S.  1983.  The effects of thirteen years of annual prescribed burning on a Quercus ellipsoidalis community in Minnesota.. Ecology. 64 (5): 1081-1085 .</v>
      </c>
      <c r="D218" s="99" t="s">
        <v>1491</v>
      </c>
      <c r="E218" s="99">
        <v>1983</v>
      </c>
      <c r="F218" s="158" t="s">
        <v>534</v>
      </c>
      <c r="G218" s="158" t="s">
        <v>214</v>
      </c>
      <c r="H218" s="156" t="s">
        <v>535</v>
      </c>
      <c r="I218" s="99" t="s">
        <v>536</v>
      </c>
      <c r="J218" s="79"/>
      <c r="K218" s="155" t="s">
        <v>537</v>
      </c>
      <c r="L218" s="82" t="s">
        <v>101</v>
      </c>
      <c r="M218" s="65" t="s">
        <v>73</v>
      </c>
      <c r="N218" s="63" t="s">
        <v>389</v>
      </c>
      <c r="O218" s="82"/>
      <c r="P218" s="156" t="s">
        <v>16</v>
      </c>
      <c r="Q218" s="155" t="s">
        <v>479</v>
      </c>
      <c r="R218" s="155" t="s">
        <v>488</v>
      </c>
      <c r="S218" s="155"/>
      <c r="T218" s="155" t="s">
        <v>480</v>
      </c>
      <c r="U218" s="155" t="s">
        <v>481</v>
      </c>
      <c r="V218" s="156">
        <v>45.42</v>
      </c>
      <c r="W218" s="156">
        <v>-93.17</v>
      </c>
      <c r="X218" s="188"/>
      <c r="Y218" s="201" t="s">
        <v>1897</v>
      </c>
      <c r="Z218" s="66" t="s">
        <v>2203</v>
      </c>
      <c r="AA218" s="97" t="s">
        <v>555</v>
      </c>
      <c r="AB218" s="79" t="s">
        <v>103</v>
      </c>
      <c r="AC218" s="79" t="s">
        <v>136</v>
      </c>
      <c r="AD218" s="82" t="s">
        <v>538</v>
      </c>
      <c r="AE218" s="82"/>
      <c r="AF218" s="82" t="s">
        <v>64</v>
      </c>
      <c r="AG218" s="82" t="s">
        <v>92</v>
      </c>
      <c r="AH218" s="82" t="s">
        <v>106</v>
      </c>
      <c r="AI218" s="82" t="s">
        <v>93</v>
      </c>
      <c r="AJ218" s="86">
        <v>1</v>
      </c>
      <c r="AK218" s="86" t="s">
        <v>539</v>
      </c>
      <c r="AL218" s="86" t="s">
        <v>539</v>
      </c>
      <c r="AM218" s="84" t="s">
        <v>1371</v>
      </c>
      <c r="AN218" s="84" t="s">
        <v>525</v>
      </c>
      <c r="AO218" s="84" t="s">
        <v>526</v>
      </c>
      <c r="AP218" s="68" t="s">
        <v>2227</v>
      </c>
      <c r="AQ218" s="82" t="s">
        <v>88</v>
      </c>
      <c r="AR218" s="86">
        <v>1</v>
      </c>
      <c r="AS218" s="86">
        <v>11</v>
      </c>
      <c r="AT218" s="86">
        <v>10</v>
      </c>
      <c r="AU218" s="87">
        <v>15</v>
      </c>
      <c r="AV218" s="88">
        <v>0.8666666666666667</v>
      </c>
      <c r="AW218" s="82"/>
      <c r="AX218" s="82" t="s">
        <v>80</v>
      </c>
      <c r="AY218" s="86">
        <v>1</v>
      </c>
      <c r="AZ218" s="86">
        <v>1</v>
      </c>
      <c r="BA218" s="86">
        <v>10</v>
      </c>
      <c r="BB218" s="86">
        <v>10</v>
      </c>
      <c r="BC218" s="82"/>
      <c r="BD218" s="83" t="s">
        <v>124</v>
      </c>
      <c r="BE218" s="82" t="s">
        <v>182</v>
      </c>
      <c r="BF218" s="83" t="s">
        <v>110</v>
      </c>
      <c r="BG218" s="82" t="s">
        <v>21</v>
      </c>
      <c r="BH218" s="82" t="s">
        <v>22</v>
      </c>
      <c r="BI218" s="84" t="s">
        <v>540</v>
      </c>
      <c r="BJ218" s="89">
        <f t="shared" si="219"/>
        <v>15</v>
      </c>
      <c r="BK218" s="84">
        <v>180</v>
      </c>
      <c r="BL218" s="84" t="s">
        <v>541</v>
      </c>
      <c r="BM218" s="88">
        <v>0.66666666666666663</v>
      </c>
      <c r="BN218" s="82" t="s">
        <v>379</v>
      </c>
      <c r="BO218" s="82" t="s">
        <v>542</v>
      </c>
      <c r="BP218" s="63" t="s">
        <v>64</v>
      </c>
      <c r="BR218" s="82" t="s">
        <v>483</v>
      </c>
      <c r="BS218" s="82" t="s">
        <v>388</v>
      </c>
      <c r="BT218" s="82" t="s">
        <v>1261</v>
      </c>
      <c r="BU218" s="90">
        <v>25.4</v>
      </c>
      <c r="BV218" s="90">
        <v>4.5</v>
      </c>
      <c r="BW218" s="90">
        <v>4.5</v>
      </c>
      <c r="BX218" s="86">
        <v>11</v>
      </c>
      <c r="BY218" s="86">
        <v>11</v>
      </c>
      <c r="BZ218" s="82" t="s">
        <v>543</v>
      </c>
      <c r="CA218" s="82" t="s">
        <v>1372</v>
      </c>
      <c r="CB218" s="82" t="s">
        <v>80</v>
      </c>
      <c r="CC218" s="102">
        <v>13</v>
      </c>
      <c r="CD218" s="102">
        <v>4.9000000000000004</v>
      </c>
      <c r="CE218" s="102">
        <v>4.9000000000000004</v>
      </c>
      <c r="CF218" s="86">
        <v>10</v>
      </c>
      <c r="CG218" s="86">
        <v>10</v>
      </c>
      <c r="CH218" s="82" t="s">
        <v>543</v>
      </c>
      <c r="CI218" s="82" t="s">
        <v>1373</v>
      </c>
      <c r="CJ218" s="82"/>
      <c r="CK218" s="86"/>
      <c r="CL218" s="86"/>
      <c r="CM218" s="86"/>
      <c r="CN218" s="86"/>
      <c r="CO218" s="86"/>
      <c r="CP218" s="82"/>
      <c r="CQ218" s="82"/>
      <c r="CR218" s="82"/>
      <c r="CS218" s="86"/>
      <c r="CT218" s="86"/>
      <c r="CU218" s="86"/>
      <c r="CV218" s="86"/>
      <c r="CW218" s="86"/>
      <c r="CX218" s="82"/>
      <c r="CY218" s="82"/>
      <c r="CZ218" s="82"/>
      <c r="DA218" s="82"/>
      <c r="DB218" s="82"/>
      <c r="DC218" s="82"/>
      <c r="DD218" s="82"/>
      <c r="DE218" s="82"/>
      <c r="DF218" s="82"/>
      <c r="DG218" s="82"/>
      <c r="DH218" s="82"/>
      <c r="DI218" s="82"/>
      <c r="DJ218" s="82"/>
      <c r="DK218" s="82"/>
      <c r="DL218" s="82"/>
      <c r="DM218" s="82"/>
      <c r="DN218" s="82"/>
      <c r="DO218" s="82"/>
      <c r="DP218" s="82"/>
      <c r="DQ218" s="82"/>
      <c r="DR218" s="82"/>
      <c r="DS218" s="82"/>
      <c r="DT218" s="82"/>
      <c r="DU218" s="82"/>
      <c r="DV218" s="82"/>
      <c r="DW218" s="82"/>
      <c r="DX218" s="82"/>
      <c r="DY218" s="86"/>
      <c r="DZ218" s="86"/>
      <c r="EA218" s="86"/>
      <c r="EB218" s="86"/>
      <c r="EC218" s="86"/>
      <c r="ED218" s="82"/>
      <c r="EE218" s="82"/>
      <c r="EF218" s="82"/>
      <c r="EG218" s="86"/>
      <c r="EH218" s="86"/>
      <c r="EI218" s="86"/>
      <c r="EJ218" s="86"/>
      <c r="EK218" s="86"/>
      <c r="EL218" s="82"/>
      <c r="EM218" s="82"/>
      <c r="EN218" s="86">
        <f t="shared" si="211"/>
        <v>25.4</v>
      </c>
      <c r="EO218" s="90">
        <f t="shared" si="212"/>
        <v>4.5</v>
      </c>
      <c r="EP218" s="86">
        <f t="shared" si="213"/>
        <v>11</v>
      </c>
      <c r="EQ218" s="86">
        <f t="shared" si="214"/>
        <v>11</v>
      </c>
      <c r="ER218" s="86">
        <f t="shared" si="215"/>
        <v>13</v>
      </c>
      <c r="ES218" s="90">
        <f t="shared" si="216"/>
        <v>4.9000000000000004</v>
      </c>
      <c r="ET218" s="86">
        <f t="shared" si="217"/>
        <v>10</v>
      </c>
      <c r="EU218" s="86">
        <f t="shared" si="218"/>
        <v>10</v>
      </c>
      <c r="EV218" s="86">
        <f t="shared" si="220"/>
        <v>4.6937248142151393</v>
      </c>
      <c r="EW218" s="86">
        <f t="shared" si="221"/>
        <v>2.641825094314453</v>
      </c>
      <c r="EX218" s="86">
        <f t="shared" si="222"/>
        <v>0.35708146778884253</v>
      </c>
      <c r="EY218" s="86">
        <f t="shared" si="223"/>
        <v>0.96</v>
      </c>
      <c r="EZ218" s="83">
        <f t="shared" si="224"/>
        <v>2.5361520905418748</v>
      </c>
      <c r="FA218" s="83">
        <f t="shared" si="225"/>
        <v>0.32908628071419727</v>
      </c>
      <c r="FB218" s="83">
        <f t="shared" si="226"/>
        <v>21</v>
      </c>
      <c r="FC218" s="84" t="s">
        <v>125</v>
      </c>
    </row>
    <row r="219" spans="1:159" ht="17.100000000000001" customHeight="1">
      <c r="A219" s="144" t="s">
        <v>1970</v>
      </c>
      <c r="B219" s="150" t="s">
        <v>1971</v>
      </c>
      <c r="C219" s="80" t="str">
        <f t="shared" si="203"/>
        <v>Wienk, C. L., Sieg, C. H., &amp; McPherson, G. R.  2004.  Evaluating the role of cutting treatments, fire and soil seed banks in an experimental framework in ponderosa pine forests of the Black Hills, South Dakota. Forest Ecology and Management. 192: 375-393.</v>
      </c>
      <c r="D219" s="104" t="s">
        <v>1972</v>
      </c>
      <c r="E219" s="104">
        <v>2004</v>
      </c>
      <c r="F219" s="145" t="s">
        <v>1973</v>
      </c>
      <c r="G219" s="145" t="s">
        <v>20</v>
      </c>
      <c r="H219" s="151">
        <v>192</v>
      </c>
      <c r="I219" s="189" t="s">
        <v>1974</v>
      </c>
      <c r="J219" s="79"/>
      <c r="K219" s="150" t="s">
        <v>1975</v>
      </c>
      <c r="L219" s="82" t="s">
        <v>101</v>
      </c>
      <c r="M219" s="83" t="s">
        <v>164</v>
      </c>
      <c r="N219" s="82" t="s">
        <v>389</v>
      </c>
      <c r="O219" s="82"/>
      <c r="P219" s="151" t="s">
        <v>16</v>
      </c>
      <c r="Q219" s="150" t="s">
        <v>1976</v>
      </c>
      <c r="R219" s="150" t="s">
        <v>1977</v>
      </c>
      <c r="S219" s="150"/>
      <c r="T219" s="150" t="s">
        <v>2337</v>
      </c>
      <c r="U219" s="150" t="s">
        <v>1978</v>
      </c>
      <c r="V219" s="151">
        <v>44.5</v>
      </c>
      <c r="W219" s="151">
        <v>-103.9</v>
      </c>
      <c r="X219" s="151" t="s">
        <v>1979</v>
      </c>
      <c r="Y219" s="104" t="s">
        <v>1990</v>
      </c>
      <c r="Z219" s="66" t="s">
        <v>2205</v>
      </c>
      <c r="AA219" s="97" t="s">
        <v>49</v>
      </c>
      <c r="AB219" s="79" t="s">
        <v>103</v>
      </c>
      <c r="AC219" s="82" t="s">
        <v>137</v>
      </c>
      <c r="AD219" s="82"/>
      <c r="AE219" s="82"/>
      <c r="AF219" s="82" t="s">
        <v>86</v>
      </c>
      <c r="AG219" s="82" t="s">
        <v>92</v>
      </c>
      <c r="AH219" s="82" t="s">
        <v>106</v>
      </c>
      <c r="AI219" s="82" t="s">
        <v>93</v>
      </c>
      <c r="AJ219" s="86">
        <v>4</v>
      </c>
      <c r="AK219" s="86">
        <v>1</v>
      </c>
      <c r="AL219" s="86">
        <v>1</v>
      </c>
      <c r="AM219" s="84" t="s">
        <v>1980</v>
      </c>
      <c r="AN219" s="84" t="s">
        <v>521</v>
      </c>
      <c r="AO219" s="84" t="s">
        <v>526</v>
      </c>
      <c r="AP219" s="68" t="s">
        <v>2227</v>
      </c>
      <c r="AQ219" s="82" t="s">
        <v>88</v>
      </c>
      <c r="AR219" s="86">
        <v>6</v>
      </c>
      <c r="AS219" s="86">
        <v>5</v>
      </c>
      <c r="AT219" s="86"/>
      <c r="AU219" s="87"/>
      <c r="AV219" s="88">
        <v>0.8571428571428571</v>
      </c>
      <c r="AW219" s="88"/>
      <c r="AX219" s="82" t="s">
        <v>80</v>
      </c>
      <c r="AY219" s="86">
        <v>4</v>
      </c>
      <c r="AZ219" s="86">
        <v>6</v>
      </c>
      <c r="BA219" s="86">
        <v>5</v>
      </c>
      <c r="BB219" s="86"/>
      <c r="BC219" s="82" t="s">
        <v>1981</v>
      </c>
      <c r="BD219" s="83" t="s">
        <v>124</v>
      </c>
      <c r="BE219" s="82" t="s">
        <v>182</v>
      </c>
      <c r="BF219" s="83" t="s">
        <v>110</v>
      </c>
      <c r="BG219" s="82" t="s">
        <v>21</v>
      </c>
      <c r="BH219" s="82" t="s">
        <v>81</v>
      </c>
      <c r="BI219" s="84" t="s">
        <v>540</v>
      </c>
      <c r="BJ219" s="89">
        <f t="shared" si="219"/>
        <v>1.1666666666666667</v>
      </c>
      <c r="BK219" s="84">
        <v>14</v>
      </c>
      <c r="BL219" s="84">
        <v>14</v>
      </c>
      <c r="BM219" s="88">
        <v>1.1666666666666667</v>
      </c>
      <c r="BN219" s="82" t="s">
        <v>379</v>
      </c>
      <c r="BO219" s="82" t="s">
        <v>975</v>
      </c>
      <c r="BP219" s="82" t="s">
        <v>64</v>
      </c>
      <c r="BQ219" s="82"/>
      <c r="BR219" s="82" t="s">
        <v>1982</v>
      </c>
      <c r="BS219" s="82" t="s">
        <v>388</v>
      </c>
      <c r="BT219" s="82" t="s">
        <v>572</v>
      </c>
      <c r="BU219" s="86">
        <v>8.3000000000000007</v>
      </c>
      <c r="BV219" s="86">
        <v>3</v>
      </c>
      <c r="BW219" s="90">
        <v>6</v>
      </c>
      <c r="BX219" s="86">
        <v>4</v>
      </c>
      <c r="BY219" s="86">
        <v>4</v>
      </c>
      <c r="BZ219" s="82" t="s">
        <v>1983</v>
      </c>
      <c r="CA219" s="82" t="s">
        <v>1984</v>
      </c>
      <c r="CB219" s="82" t="s">
        <v>80</v>
      </c>
      <c r="CC219" s="86">
        <v>2.7</v>
      </c>
      <c r="CD219" s="86">
        <v>0.7</v>
      </c>
      <c r="CE219" s="90">
        <v>1.4</v>
      </c>
      <c r="CF219" s="86">
        <v>4</v>
      </c>
      <c r="CG219" s="86">
        <v>4</v>
      </c>
      <c r="CH219" s="82" t="s">
        <v>1983</v>
      </c>
      <c r="CI219" s="82" t="s">
        <v>1984</v>
      </c>
      <c r="CJ219" s="82"/>
      <c r="CK219" s="86"/>
      <c r="CL219" s="86"/>
      <c r="CM219" s="86"/>
      <c r="CN219" s="86"/>
      <c r="CO219" s="86"/>
      <c r="CP219" s="82"/>
      <c r="CQ219" s="82"/>
      <c r="CR219" s="82"/>
      <c r="CS219" s="115"/>
      <c r="CT219" s="115"/>
      <c r="CU219" s="86"/>
      <c r="CV219" s="86"/>
      <c r="CW219" s="86"/>
      <c r="CX219" s="82"/>
      <c r="CY219" s="82"/>
      <c r="CZ219" s="82"/>
      <c r="DA219" s="138"/>
      <c r="DB219" s="138"/>
      <c r="DC219" s="82"/>
      <c r="DD219" s="82"/>
      <c r="DE219" s="82"/>
      <c r="DF219" s="82"/>
      <c r="DG219" s="82"/>
      <c r="DH219" s="82"/>
      <c r="DI219" s="138"/>
      <c r="DJ219" s="138"/>
      <c r="DK219" s="82"/>
      <c r="DL219" s="82"/>
      <c r="DM219" s="82"/>
      <c r="DN219" s="82"/>
      <c r="DO219" s="82"/>
      <c r="DP219" s="82"/>
      <c r="DQ219" s="138"/>
      <c r="DR219" s="138"/>
      <c r="DS219" s="82"/>
      <c r="DT219" s="82"/>
      <c r="DU219" s="82"/>
      <c r="DV219" s="82"/>
      <c r="DW219" s="82"/>
      <c r="DX219" s="82"/>
      <c r="DY219" s="78"/>
      <c r="DZ219" s="86"/>
      <c r="EA219" s="86"/>
      <c r="EB219" s="86"/>
      <c r="EC219" s="86"/>
      <c r="ED219" s="82"/>
      <c r="EE219" s="82"/>
      <c r="EF219" s="82"/>
      <c r="EG219" s="78"/>
      <c r="EH219" s="86"/>
      <c r="EI219" s="86"/>
      <c r="EJ219" s="86"/>
      <c r="EK219" s="86"/>
      <c r="EL219" s="82"/>
      <c r="EM219" s="82"/>
      <c r="EN219" s="86">
        <f t="shared" si="211"/>
        <v>8.3000000000000007</v>
      </c>
      <c r="EO219" s="90">
        <f t="shared" si="212"/>
        <v>6</v>
      </c>
      <c r="EP219" s="86">
        <f t="shared" si="213"/>
        <v>4</v>
      </c>
      <c r="EQ219" s="86">
        <f t="shared" si="214"/>
        <v>4</v>
      </c>
      <c r="ER219" s="86">
        <f t="shared" si="215"/>
        <v>2.7</v>
      </c>
      <c r="ES219" s="90">
        <f t="shared" si="216"/>
        <v>1.4</v>
      </c>
      <c r="ET219" s="86">
        <f t="shared" si="217"/>
        <v>4</v>
      </c>
      <c r="EU219" s="86">
        <f t="shared" si="218"/>
        <v>4</v>
      </c>
      <c r="EV219" s="86">
        <f t="shared" si="220"/>
        <v>4.3566041821583932</v>
      </c>
      <c r="EW219" s="86">
        <f t="shared" si="221"/>
        <v>1.2854048166536882</v>
      </c>
      <c r="EX219" s="86">
        <f t="shared" si="222"/>
        <v>0.60326659641728142</v>
      </c>
      <c r="EY219" s="86">
        <f t="shared" si="223"/>
        <v>0.86956521739130432</v>
      </c>
      <c r="EZ219" s="83">
        <f t="shared" si="224"/>
        <v>1.117743318829294</v>
      </c>
      <c r="FA219" s="83">
        <f t="shared" si="225"/>
        <v>0.45615621657261357</v>
      </c>
      <c r="FB219" s="83">
        <f t="shared" si="226"/>
        <v>8</v>
      </c>
      <c r="FC219" s="82" t="s">
        <v>385</v>
      </c>
    </row>
    <row r="220" spans="1:159" s="84" customFormat="1" ht="17.100000000000001" customHeight="1">
      <c r="A220" s="144" t="s">
        <v>1804</v>
      </c>
      <c r="B220" s="151" t="s">
        <v>2185</v>
      </c>
      <c r="C220" s="80" t="str">
        <f t="shared" si="203"/>
        <v>Zhang, J., Ritchie, M. W., &amp; Oliver, W. W.  2008.  Vegetation responses to stand structure
and prescribed fire in an interior ponderosa pine ecosystem. . Canadian Journal of Forest Research. 38: 909-918.</v>
      </c>
      <c r="D220" s="99" t="s">
        <v>1474</v>
      </c>
      <c r="E220" s="99">
        <v>2008</v>
      </c>
      <c r="F220" s="104" t="s">
        <v>885</v>
      </c>
      <c r="G220" s="104" t="s">
        <v>173</v>
      </c>
      <c r="H220" s="104">
        <v>38</v>
      </c>
      <c r="I220" s="189" t="s">
        <v>886</v>
      </c>
      <c r="J220" s="81"/>
      <c r="K220" s="151" t="s">
        <v>887</v>
      </c>
      <c r="L220" s="84" t="s">
        <v>18</v>
      </c>
      <c r="M220" s="95" t="s">
        <v>73</v>
      </c>
      <c r="N220" s="84" t="s">
        <v>389</v>
      </c>
      <c r="P220" s="151" t="s">
        <v>16</v>
      </c>
      <c r="Q220" s="151" t="s">
        <v>15</v>
      </c>
      <c r="R220" s="151" t="s">
        <v>888</v>
      </c>
      <c r="S220" s="151" t="s">
        <v>889</v>
      </c>
      <c r="T220" s="151" t="s">
        <v>955</v>
      </c>
      <c r="U220" s="151" t="s">
        <v>956</v>
      </c>
      <c r="V220" s="151">
        <v>40.67</v>
      </c>
      <c r="W220" s="151">
        <v>-121.17</v>
      </c>
      <c r="X220" s="151" t="s">
        <v>890</v>
      </c>
      <c r="Y220" s="99" t="s">
        <v>1991</v>
      </c>
      <c r="Z220" s="66" t="s">
        <v>2201</v>
      </c>
      <c r="AA220" s="202" t="s">
        <v>49</v>
      </c>
      <c r="AB220" s="84" t="s">
        <v>103</v>
      </c>
      <c r="AC220" s="81" t="s">
        <v>137</v>
      </c>
      <c r="AE220" s="84" t="s">
        <v>891</v>
      </c>
      <c r="AF220" s="84" t="s">
        <v>87</v>
      </c>
      <c r="AG220" s="84" t="s">
        <v>92</v>
      </c>
      <c r="AH220" s="84" t="s">
        <v>106</v>
      </c>
      <c r="AI220" s="84" t="s">
        <v>93</v>
      </c>
      <c r="AJ220" s="86">
        <v>12</v>
      </c>
      <c r="AK220" s="86">
        <v>1</v>
      </c>
      <c r="AL220" s="86">
        <v>1</v>
      </c>
      <c r="AM220" s="84" t="s">
        <v>892</v>
      </c>
      <c r="AN220" s="84" t="s">
        <v>690</v>
      </c>
      <c r="AO220" s="84" t="s">
        <v>524</v>
      </c>
      <c r="AP220" s="68" t="s">
        <v>2228</v>
      </c>
      <c r="AQ220" s="84" t="s">
        <v>64</v>
      </c>
      <c r="AR220" s="108">
        <v>1</v>
      </c>
      <c r="AS220" s="108">
        <v>1</v>
      </c>
      <c r="AT220" s="86"/>
      <c r="AU220" s="90"/>
      <c r="AV220" s="88">
        <v>0.2</v>
      </c>
      <c r="AX220" s="84" t="s">
        <v>80</v>
      </c>
      <c r="AY220" s="86">
        <v>12</v>
      </c>
      <c r="AZ220" s="86">
        <v>1</v>
      </c>
      <c r="BA220" s="86">
        <v>1</v>
      </c>
      <c r="BB220" s="86"/>
      <c r="BD220" s="93" t="s">
        <v>124</v>
      </c>
      <c r="BE220" s="84" t="s">
        <v>182</v>
      </c>
      <c r="BF220" s="109" t="s">
        <v>387</v>
      </c>
      <c r="BG220" s="110" t="s">
        <v>21</v>
      </c>
      <c r="BH220" s="84" t="s">
        <v>81</v>
      </c>
      <c r="BI220" s="84" t="s">
        <v>893</v>
      </c>
      <c r="BJ220" s="89">
        <f t="shared" si="219"/>
        <v>5</v>
      </c>
      <c r="BK220" s="84">
        <v>60</v>
      </c>
      <c r="BL220" s="84">
        <v>60</v>
      </c>
      <c r="BM220" s="88">
        <v>5</v>
      </c>
      <c r="BN220" s="84" t="s">
        <v>389</v>
      </c>
      <c r="BO220" s="84" t="s">
        <v>894</v>
      </c>
      <c r="BP220" s="84" t="s">
        <v>64</v>
      </c>
      <c r="BR220" s="81" t="s">
        <v>895</v>
      </c>
      <c r="BS220" s="81" t="s">
        <v>895</v>
      </c>
      <c r="BT220" s="84" t="s">
        <v>572</v>
      </c>
      <c r="BU220" s="86">
        <v>4.91</v>
      </c>
      <c r="BV220" s="86">
        <v>0.14000000000000001</v>
      </c>
      <c r="BW220" s="90">
        <v>0.34292856398964494</v>
      </c>
      <c r="BX220" s="86">
        <v>6</v>
      </c>
      <c r="BY220" s="86">
        <v>6</v>
      </c>
      <c r="BZ220" s="84" t="s">
        <v>896</v>
      </c>
      <c r="CA220" s="84" t="s">
        <v>1355</v>
      </c>
      <c r="CB220" s="84" t="s">
        <v>80</v>
      </c>
      <c r="CC220" s="86">
        <v>5.25</v>
      </c>
      <c r="CD220" s="86">
        <v>0.2</v>
      </c>
      <c r="CE220" s="90">
        <v>0.4898979485566356</v>
      </c>
      <c r="CF220" s="86">
        <v>6</v>
      </c>
      <c r="CG220" s="86">
        <v>6</v>
      </c>
      <c r="CH220" s="84" t="s">
        <v>896</v>
      </c>
      <c r="CI220" s="84" t="s">
        <v>1355</v>
      </c>
      <c r="CK220" s="86"/>
      <c r="CL220" s="86"/>
      <c r="CM220" s="86"/>
      <c r="CN220" s="86"/>
      <c r="CO220" s="86"/>
      <c r="CS220" s="86"/>
      <c r="CT220" s="86"/>
      <c r="CU220" s="86"/>
      <c r="CV220" s="86"/>
      <c r="CW220" s="86"/>
      <c r="DA220" s="82"/>
      <c r="DB220" s="82"/>
      <c r="DC220" s="82"/>
      <c r="DD220" s="82"/>
      <c r="DE220" s="82"/>
      <c r="DI220" s="82"/>
      <c r="DJ220" s="82"/>
      <c r="DK220" s="82"/>
      <c r="DL220" s="82"/>
      <c r="DM220" s="82"/>
      <c r="DN220" s="82"/>
      <c r="DO220" s="111"/>
      <c r="DQ220" s="82"/>
      <c r="DR220" s="82"/>
      <c r="DS220" s="82"/>
      <c r="DT220" s="82"/>
      <c r="DU220" s="82"/>
      <c r="DW220" s="111"/>
      <c r="DY220" s="86"/>
      <c r="DZ220" s="86"/>
      <c r="EA220" s="86"/>
      <c r="EB220" s="86"/>
      <c r="EC220" s="86"/>
      <c r="EG220" s="86"/>
      <c r="EH220" s="86"/>
      <c r="EI220" s="86"/>
      <c r="EJ220" s="86"/>
      <c r="EK220" s="86"/>
      <c r="EN220" s="86">
        <f t="shared" si="211"/>
        <v>4.91</v>
      </c>
      <c r="EO220" s="90">
        <f t="shared" si="212"/>
        <v>0.34292856398964494</v>
      </c>
      <c r="EP220" s="86">
        <f t="shared" si="213"/>
        <v>6</v>
      </c>
      <c r="EQ220" s="86">
        <f t="shared" si="214"/>
        <v>6</v>
      </c>
      <c r="ER220" s="86">
        <f t="shared" si="215"/>
        <v>5.25</v>
      </c>
      <c r="ES220" s="90">
        <f t="shared" si="216"/>
        <v>0.4898979485566356</v>
      </c>
      <c r="ET220" s="86">
        <f t="shared" si="217"/>
        <v>6</v>
      </c>
      <c r="EU220" s="86">
        <f t="shared" si="218"/>
        <v>6</v>
      </c>
      <c r="EV220" s="86">
        <f t="shared" si="220"/>
        <v>0.42284749023731949</v>
      </c>
      <c r="EW220" s="86">
        <f t="shared" si="221"/>
        <v>-0.80407240872868324</v>
      </c>
      <c r="EX220" s="86">
        <f t="shared" si="222"/>
        <v>0.36027218493661445</v>
      </c>
      <c r="EY220" s="86">
        <f t="shared" si="223"/>
        <v>0.92307692307692313</v>
      </c>
      <c r="EZ220" s="83">
        <f t="shared" si="224"/>
        <v>-0.74222068498032301</v>
      </c>
      <c r="FA220" s="83">
        <f t="shared" si="225"/>
        <v>0.30697748302291411</v>
      </c>
      <c r="FB220" s="83">
        <f t="shared" si="226"/>
        <v>12</v>
      </c>
      <c r="FC220" s="84" t="s">
        <v>385</v>
      </c>
    </row>
    <row r="221" spans="1:159" s="82" customFormat="1" ht="17.100000000000001" customHeight="1">
      <c r="A221" s="144" t="s">
        <v>1804</v>
      </c>
      <c r="B221" s="151" t="s">
        <v>2184</v>
      </c>
      <c r="C221" s="80" t="str">
        <f t="shared" si="203"/>
        <v>Zhang, J., Ritchie, M. W., &amp; Oliver, W. W.  2008.  Vegetation responses to stand structure
and prescribed fire in an interior ponderosa pine ecosystem. . Canadian Journal of Forest Research. 38: 909-918.</v>
      </c>
      <c r="D221" s="99" t="s">
        <v>1474</v>
      </c>
      <c r="E221" s="99">
        <v>2008</v>
      </c>
      <c r="F221" s="104" t="s">
        <v>885</v>
      </c>
      <c r="G221" s="104" t="s">
        <v>173</v>
      </c>
      <c r="H221" s="104">
        <v>38</v>
      </c>
      <c r="I221" s="189" t="s">
        <v>886</v>
      </c>
      <c r="J221" s="81"/>
      <c r="K221" s="151" t="s">
        <v>887</v>
      </c>
      <c r="L221" s="84" t="s">
        <v>18</v>
      </c>
      <c r="M221" s="95" t="s">
        <v>73</v>
      </c>
      <c r="N221" s="84" t="s">
        <v>389</v>
      </c>
      <c r="O221" s="84"/>
      <c r="P221" s="151" t="s">
        <v>16</v>
      </c>
      <c r="Q221" s="151" t="s">
        <v>15</v>
      </c>
      <c r="R221" s="151" t="s">
        <v>888</v>
      </c>
      <c r="S221" s="151" t="s">
        <v>889</v>
      </c>
      <c r="T221" s="151" t="s">
        <v>955</v>
      </c>
      <c r="U221" s="151" t="s">
        <v>956</v>
      </c>
      <c r="V221" s="151">
        <v>40.67</v>
      </c>
      <c r="W221" s="151">
        <v>-121.17</v>
      </c>
      <c r="X221" s="151" t="s">
        <v>890</v>
      </c>
      <c r="Y221" s="99" t="s">
        <v>1991</v>
      </c>
      <c r="Z221" s="66" t="s">
        <v>2201</v>
      </c>
      <c r="AA221" s="202" t="s">
        <v>49</v>
      </c>
      <c r="AB221" s="84" t="s">
        <v>103</v>
      </c>
      <c r="AC221" s="81" t="s">
        <v>137</v>
      </c>
      <c r="AD221" s="84"/>
      <c r="AE221" s="84" t="s">
        <v>897</v>
      </c>
      <c r="AF221" s="84" t="s">
        <v>87</v>
      </c>
      <c r="AG221" s="84" t="s">
        <v>92</v>
      </c>
      <c r="AH221" s="84" t="s">
        <v>106</v>
      </c>
      <c r="AI221" s="84" t="s">
        <v>93</v>
      </c>
      <c r="AJ221" s="86">
        <v>12</v>
      </c>
      <c r="AK221" s="86">
        <v>1</v>
      </c>
      <c r="AL221" s="86">
        <v>1</v>
      </c>
      <c r="AM221" s="84" t="s">
        <v>892</v>
      </c>
      <c r="AN221" s="84" t="s">
        <v>690</v>
      </c>
      <c r="AO221" s="84" t="s">
        <v>524</v>
      </c>
      <c r="AP221" s="68" t="s">
        <v>2228</v>
      </c>
      <c r="AQ221" s="84" t="s">
        <v>64</v>
      </c>
      <c r="AR221" s="108">
        <v>1</v>
      </c>
      <c r="AS221" s="108">
        <v>1</v>
      </c>
      <c r="AT221" s="86"/>
      <c r="AU221" s="90"/>
      <c r="AV221" s="88">
        <v>0.2</v>
      </c>
      <c r="AW221" s="84"/>
      <c r="AX221" s="84" t="s">
        <v>80</v>
      </c>
      <c r="AY221" s="86">
        <v>12</v>
      </c>
      <c r="AZ221" s="86">
        <v>1</v>
      </c>
      <c r="BA221" s="86">
        <v>1</v>
      </c>
      <c r="BB221" s="86"/>
      <c r="BC221" s="84"/>
      <c r="BD221" s="93" t="s">
        <v>124</v>
      </c>
      <c r="BE221" s="84" t="s">
        <v>182</v>
      </c>
      <c r="BF221" s="109" t="s">
        <v>387</v>
      </c>
      <c r="BG221" s="110" t="s">
        <v>21</v>
      </c>
      <c r="BH221" s="84" t="s">
        <v>81</v>
      </c>
      <c r="BI221" s="84" t="s">
        <v>893</v>
      </c>
      <c r="BJ221" s="89">
        <f t="shared" si="219"/>
        <v>5</v>
      </c>
      <c r="BK221" s="84">
        <v>60</v>
      </c>
      <c r="BL221" s="84">
        <v>60</v>
      </c>
      <c r="BM221" s="88">
        <v>5</v>
      </c>
      <c r="BN221" s="84" t="s">
        <v>389</v>
      </c>
      <c r="BO221" s="84" t="s">
        <v>894</v>
      </c>
      <c r="BP221" s="84" t="s">
        <v>64</v>
      </c>
      <c r="BQ221" s="84"/>
      <c r="BR221" s="81" t="s">
        <v>895</v>
      </c>
      <c r="BS221" s="81" t="s">
        <v>895</v>
      </c>
      <c r="BT221" s="84" t="s">
        <v>572</v>
      </c>
      <c r="BU221" s="86">
        <v>4.04</v>
      </c>
      <c r="BV221" s="86">
        <v>0.14000000000000001</v>
      </c>
      <c r="BW221" s="90">
        <v>0.34292856398964494</v>
      </c>
      <c r="BX221" s="86">
        <v>6</v>
      </c>
      <c r="BY221" s="86">
        <v>6</v>
      </c>
      <c r="BZ221" s="84" t="s">
        <v>896</v>
      </c>
      <c r="CA221" s="84" t="s">
        <v>1355</v>
      </c>
      <c r="CB221" s="84" t="s">
        <v>80</v>
      </c>
      <c r="CC221" s="86">
        <v>4.01</v>
      </c>
      <c r="CD221" s="86">
        <v>0.14000000000000001</v>
      </c>
      <c r="CE221" s="90">
        <v>0.34292856398964494</v>
      </c>
      <c r="CF221" s="86">
        <v>6</v>
      </c>
      <c r="CG221" s="86">
        <v>6</v>
      </c>
      <c r="CH221" s="84" t="s">
        <v>896</v>
      </c>
      <c r="CI221" s="84" t="s">
        <v>1355</v>
      </c>
      <c r="CJ221" s="84"/>
      <c r="CK221" s="86"/>
      <c r="CL221" s="86"/>
      <c r="CM221" s="86"/>
      <c r="CN221" s="86"/>
      <c r="CO221" s="86"/>
      <c r="CP221" s="84"/>
      <c r="CQ221" s="84"/>
      <c r="CR221" s="84"/>
      <c r="CS221" s="86"/>
      <c r="CT221" s="86"/>
      <c r="CU221" s="86"/>
      <c r="CV221" s="86"/>
      <c r="CW221" s="86"/>
      <c r="CX221" s="84"/>
      <c r="CY221" s="84"/>
      <c r="CZ221" s="84"/>
      <c r="DF221" s="84"/>
      <c r="DG221" s="84"/>
      <c r="DH221" s="84"/>
      <c r="DO221" s="111"/>
      <c r="DP221" s="84"/>
      <c r="DV221" s="84"/>
      <c r="DW221" s="111"/>
      <c r="DX221" s="84"/>
      <c r="DY221" s="86"/>
      <c r="DZ221" s="86"/>
      <c r="EA221" s="86"/>
      <c r="EB221" s="86"/>
      <c r="EC221" s="86"/>
      <c r="ED221" s="84"/>
      <c r="EE221" s="84"/>
      <c r="EF221" s="84"/>
      <c r="EG221" s="86"/>
      <c r="EH221" s="86"/>
      <c r="EI221" s="86"/>
      <c r="EJ221" s="86"/>
      <c r="EK221" s="86"/>
      <c r="EL221" s="84"/>
      <c r="EM221" s="84"/>
      <c r="EN221" s="86">
        <f t="shared" si="211"/>
        <v>4.04</v>
      </c>
      <c r="EO221" s="90">
        <f t="shared" si="212"/>
        <v>0.34292856398964494</v>
      </c>
      <c r="EP221" s="86">
        <f t="shared" si="213"/>
        <v>6</v>
      </c>
      <c r="EQ221" s="86">
        <f t="shared" si="214"/>
        <v>6</v>
      </c>
      <c r="ER221" s="86">
        <f t="shared" si="215"/>
        <v>4.01</v>
      </c>
      <c r="ES221" s="90">
        <f t="shared" si="216"/>
        <v>0.34292856398964494</v>
      </c>
      <c r="ET221" s="86">
        <f t="shared" si="217"/>
        <v>6</v>
      </c>
      <c r="EU221" s="86">
        <f t="shared" si="218"/>
        <v>6</v>
      </c>
      <c r="EV221" s="86">
        <f t="shared" si="220"/>
        <v>0.34292856398964494</v>
      </c>
      <c r="EW221" s="86">
        <f t="shared" si="221"/>
        <v>8.7481776527971372E-2</v>
      </c>
      <c r="EX221" s="86">
        <f t="shared" si="222"/>
        <v>0.33365221088435371</v>
      </c>
      <c r="EY221" s="86">
        <f t="shared" si="223"/>
        <v>0.92307692307692313</v>
      </c>
      <c r="EZ221" s="83">
        <f t="shared" si="224"/>
        <v>8.0752409102742811E-2</v>
      </c>
      <c r="FA221" s="83">
        <f t="shared" si="225"/>
        <v>0.28429537495471563</v>
      </c>
      <c r="FB221" s="83">
        <f t="shared" si="226"/>
        <v>12</v>
      </c>
      <c r="FC221" s="84" t="s">
        <v>385</v>
      </c>
    </row>
    <row r="275" spans="4:83" ht="17.100000000000001" customHeight="1">
      <c r="D275" s="63"/>
      <c r="E275" s="63"/>
      <c r="H275" s="63"/>
      <c r="I275" s="63"/>
      <c r="M275" s="63"/>
      <c r="P275" s="63"/>
      <c r="V275" s="63"/>
      <c r="W275" s="63"/>
      <c r="X275" s="63"/>
      <c r="AA275" s="63"/>
      <c r="AJ275" s="63"/>
      <c r="AK275" s="63"/>
      <c r="AL275" s="63"/>
      <c r="AM275" s="63"/>
      <c r="AN275" s="63"/>
      <c r="AO275" s="63"/>
      <c r="AR275" s="63"/>
      <c r="AS275" s="63"/>
      <c r="AT275" s="63"/>
      <c r="AU275" s="63"/>
      <c r="AV275" s="63"/>
      <c r="AY275" s="63"/>
      <c r="AZ275" s="63"/>
      <c r="BA275" s="63"/>
      <c r="BB275" s="63"/>
      <c r="BD275" s="63"/>
      <c r="BF275" s="63"/>
      <c r="BI275" s="63"/>
      <c r="BJ275" s="63"/>
      <c r="BK275" s="63"/>
      <c r="BL275" s="63"/>
      <c r="BM275" s="63"/>
      <c r="BU275" s="67"/>
      <c r="BV275" s="67"/>
      <c r="BW275" s="67"/>
      <c r="CC275" s="67"/>
      <c r="CD275" s="67"/>
      <c r="CE275" s="67"/>
    </row>
    <row r="276" spans="4:83" ht="17.100000000000001" customHeight="1">
      <c r="Y276" s="63"/>
    </row>
  </sheetData>
  <autoFilter ref="A2:FD221"/>
  <sortState ref="A3:EZ217">
    <sortCondition ref="A3"/>
  </sortState>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AF105"/>
  <sheetViews>
    <sheetView workbookViewId="0">
      <pane xSplit="2" ySplit="7" topLeftCell="C8" activePane="bottomRight" state="frozen"/>
      <selection pane="topRight" activeCell="B1" sqref="B1"/>
      <selection pane="bottomLeft" activeCell="A10" sqref="A10"/>
      <selection pane="bottomRight" activeCell="M33" sqref="M33"/>
    </sheetView>
  </sheetViews>
  <sheetFormatPr defaultColWidth="10.875" defaultRowHeight="15.75"/>
  <cols>
    <col min="1" max="1" width="22.125" style="24" customWidth="1"/>
    <col min="2" max="2" width="38" style="33" customWidth="1"/>
    <col min="3" max="3" width="18.125" style="11" customWidth="1"/>
    <col min="4" max="4" width="23.625" style="11" customWidth="1"/>
    <col min="5" max="5" width="55.875" style="11" customWidth="1"/>
    <col min="6" max="6" width="36.375" style="11" customWidth="1"/>
    <col min="7" max="7" width="31.875" style="11" customWidth="1"/>
    <col min="8" max="8" width="29.125" style="11" customWidth="1"/>
    <col min="9" max="9" width="56.375" style="11" customWidth="1"/>
    <col min="10" max="10" width="28.875" style="11" customWidth="1"/>
    <col min="11" max="11" width="19.125" style="11" customWidth="1"/>
    <col min="12" max="12" width="18" style="11" customWidth="1"/>
    <col min="13" max="13" width="10.875" style="11"/>
    <col min="14" max="14" width="35.375" style="11" customWidth="1"/>
    <col min="15" max="16384" width="10.875" style="11"/>
  </cols>
  <sheetData>
    <row r="1" spans="1:32" ht="17.100000000000001" customHeight="1">
      <c r="A1" s="24" t="s">
        <v>2330</v>
      </c>
      <c r="B1" s="33" t="s">
        <v>0</v>
      </c>
      <c r="C1" s="13" t="s">
        <v>11</v>
      </c>
      <c r="D1" s="13" t="s">
        <v>12</v>
      </c>
      <c r="E1" s="13" t="s">
        <v>6</v>
      </c>
      <c r="F1" s="13" t="s">
        <v>7</v>
      </c>
      <c r="G1" s="13" t="s">
        <v>151</v>
      </c>
      <c r="H1" s="13" t="s">
        <v>100</v>
      </c>
      <c r="I1" s="13" t="s">
        <v>152</v>
      </c>
      <c r="J1" s="13"/>
      <c r="K1" s="13" t="s">
        <v>38</v>
      </c>
      <c r="L1" s="11" t="s">
        <v>35</v>
      </c>
      <c r="M1" s="11" t="s">
        <v>83</v>
      </c>
      <c r="N1" s="11" t="s">
        <v>1179</v>
      </c>
    </row>
    <row r="2" spans="1:32" s="3" customFormat="1" ht="17.100000000000001" customHeight="1">
      <c r="A2" s="61"/>
      <c r="B2" s="33"/>
      <c r="C2" s="7" t="s">
        <v>170</v>
      </c>
      <c r="D2" s="8" t="s">
        <v>165</v>
      </c>
      <c r="E2" s="7" t="s">
        <v>1269</v>
      </c>
      <c r="F2" s="8" t="s">
        <v>1270</v>
      </c>
      <c r="G2" s="8" t="s">
        <v>166</v>
      </c>
      <c r="H2" s="8" t="s">
        <v>167</v>
      </c>
      <c r="I2" s="14" t="s">
        <v>169</v>
      </c>
      <c r="J2" s="14" t="s">
        <v>1185</v>
      </c>
      <c r="K2" s="7"/>
    </row>
    <row r="3" spans="1:32" s="4" customFormat="1" ht="17.100000000000001" customHeight="1">
      <c r="A3" s="24"/>
      <c r="B3" s="33" t="s">
        <v>1</v>
      </c>
      <c r="C3" s="11" t="s">
        <v>10</v>
      </c>
      <c r="D3" s="11" t="s">
        <v>2332</v>
      </c>
      <c r="E3" s="11" t="s">
        <v>150</v>
      </c>
      <c r="F3" s="11" t="s">
        <v>143</v>
      </c>
      <c r="G3" s="11" t="s">
        <v>1221</v>
      </c>
      <c r="H3" s="11" t="s">
        <v>171</v>
      </c>
      <c r="I3" s="2"/>
      <c r="J3" s="2"/>
    </row>
    <row r="4" spans="1:32" s="4" customFormat="1" ht="17.100000000000001" customHeight="1">
      <c r="A4" s="24"/>
      <c r="B4" s="33" t="s">
        <v>2</v>
      </c>
      <c r="C4" s="11" t="s">
        <v>78</v>
      </c>
      <c r="D4" s="11" t="s">
        <v>221</v>
      </c>
      <c r="E4" s="11" t="s">
        <v>149</v>
      </c>
      <c r="F4" s="11" t="s">
        <v>141</v>
      </c>
      <c r="G4" s="11" t="s">
        <v>82</v>
      </c>
      <c r="H4" s="11" t="s">
        <v>142</v>
      </c>
      <c r="I4" s="2"/>
      <c r="J4" s="2"/>
    </row>
    <row r="5" spans="1:32" s="3" customFormat="1" ht="17.100000000000001" customHeight="1">
      <c r="A5" s="61"/>
      <c r="B5" s="33" t="s">
        <v>3</v>
      </c>
      <c r="C5" s="11" t="s">
        <v>168</v>
      </c>
      <c r="D5" s="11" t="s">
        <v>222</v>
      </c>
      <c r="E5" s="11" t="s">
        <v>139</v>
      </c>
      <c r="F5" s="11" t="s">
        <v>140</v>
      </c>
      <c r="G5" s="11" t="s">
        <v>1220</v>
      </c>
      <c r="H5" s="11" t="s">
        <v>223</v>
      </c>
      <c r="I5" s="2"/>
      <c r="J5" s="2"/>
      <c r="K5" s="4"/>
      <c r="L5" s="4"/>
    </row>
    <row r="6" spans="1:32" s="3" customFormat="1" ht="17.100000000000001" customHeight="1">
      <c r="A6" s="61"/>
      <c r="B6" s="33" t="s">
        <v>4</v>
      </c>
      <c r="C6" s="11" t="s">
        <v>13</v>
      </c>
      <c r="D6" s="11" t="s">
        <v>13</v>
      </c>
      <c r="E6" s="11" t="s">
        <v>13</v>
      </c>
      <c r="F6" s="11" t="s">
        <v>13</v>
      </c>
      <c r="G6" s="11" t="s">
        <v>8</v>
      </c>
      <c r="H6" s="11" t="s">
        <v>13</v>
      </c>
      <c r="I6" s="2"/>
      <c r="J6" s="2"/>
      <c r="K6" s="4"/>
      <c r="L6" s="4"/>
    </row>
    <row r="7" spans="1:32" s="3" customFormat="1" ht="17.100000000000001" customHeight="1">
      <c r="A7" s="61"/>
      <c r="B7" s="33" t="s">
        <v>5</v>
      </c>
      <c r="C7" s="11"/>
      <c r="D7" s="19"/>
      <c r="E7" s="11" t="s">
        <v>9</v>
      </c>
      <c r="F7" s="11"/>
      <c r="G7" s="11"/>
      <c r="H7" s="11"/>
      <c r="I7" s="2"/>
      <c r="J7" s="2"/>
      <c r="K7" s="4"/>
      <c r="L7" s="4"/>
    </row>
    <row r="8" spans="1:32" s="3" customFormat="1" ht="47.25">
      <c r="A8" s="60" t="s">
        <v>2241</v>
      </c>
      <c r="B8" s="26" t="s">
        <v>1413</v>
      </c>
      <c r="C8" s="18" t="s">
        <v>160</v>
      </c>
      <c r="D8" s="4" t="s">
        <v>1211</v>
      </c>
      <c r="E8" s="4" t="s">
        <v>441</v>
      </c>
      <c r="F8" s="4" t="s">
        <v>161</v>
      </c>
      <c r="G8" s="4" t="s">
        <v>161</v>
      </c>
      <c r="H8" s="4" t="s">
        <v>161</v>
      </c>
      <c r="I8" s="4" t="s">
        <v>425</v>
      </c>
      <c r="J8" s="4"/>
      <c r="K8" s="29" t="s">
        <v>73</v>
      </c>
      <c r="L8" s="2" t="s">
        <v>125</v>
      </c>
      <c r="M8" s="4"/>
      <c r="N8" s="4"/>
      <c r="O8" s="4"/>
      <c r="P8" s="4"/>
      <c r="Q8" s="4"/>
      <c r="R8" s="4"/>
      <c r="S8" s="4"/>
      <c r="T8" s="4"/>
      <c r="U8" s="4"/>
      <c r="V8" s="4"/>
      <c r="W8" s="4"/>
      <c r="X8" s="4"/>
      <c r="Y8" s="4"/>
      <c r="Z8" s="4"/>
      <c r="AA8" s="4"/>
      <c r="AB8" s="4"/>
      <c r="AC8" s="4"/>
      <c r="AD8" s="4"/>
      <c r="AE8" s="11"/>
      <c r="AF8" s="11"/>
    </row>
    <row r="9" spans="1:32" s="3" customFormat="1" ht="78.75">
      <c r="A9" s="60" t="s">
        <v>2242</v>
      </c>
      <c r="B9" s="34" t="s">
        <v>309</v>
      </c>
      <c r="C9" s="12" t="s">
        <v>160</v>
      </c>
      <c r="D9" s="4" t="s">
        <v>37</v>
      </c>
      <c r="E9" s="4" t="s">
        <v>266</v>
      </c>
      <c r="F9" s="4" t="s">
        <v>1218</v>
      </c>
      <c r="G9" s="4" t="s">
        <v>1215</v>
      </c>
      <c r="H9" s="4" t="s">
        <v>37</v>
      </c>
      <c r="I9" s="4" t="s">
        <v>1174</v>
      </c>
      <c r="J9" s="4"/>
      <c r="K9" s="16" t="s">
        <v>1175</v>
      </c>
      <c r="L9" s="4" t="s">
        <v>385</v>
      </c>
      <c r="M9" s="4"/>
      <c r="N9" s="4"/>
      <c r="O9" s="4"/>
      <c r="P9" s="4"/>
      <c r="Q9" s="4"/>
      <c r="R9" s="4"/>
      <c r="S9" s="4"/>
      <c r="T9" s="4"/>
      <c r="U9" s="4"/>
      <c r="V9" s="4"/>
      <c r="W9" s="4"/>
      <c r="X9" s="4"/>
      <c r="Y9" s="4"/>
      <c r="Z9" s="4"/>
      <c r="AA9" s="4"/>
      <c r="AB9" s="4"/>
      <c r="AC9" s="4"/>
      <c r="AD9" s="4"/>
      <c r="AE9" s="4"/>
      <c r="AF9" s="4"/>
    </row>
    <row r="10" spans="1:32" s="1" customFormat="1">
      <c r="A10" s="60" t="s">
        <v>2243</v>
      </c>
      <c r="B10" s="35" t="s">
        <v>1423</v>
      </c>
      <c r="C10" s="4" t="s">
        <v>780</v>
      </c>
      <c r="D10" s="4" t="s">
        <v>37</v>
      </c>
      <c r="E10" s="4" t="s">
        <v>37</v>
      </c>
      <c r="F10" s="4" t="s">
        <v>37</v>
      </c>
      <c r="G10" s="4" t="s">
        <v>37</v>
      </c>
      <c r="H10" s="4" t="s">
        <v>37</v>
      </c>
      <c r="I10" s="4" t="s">
        <v>803</v>
      </c>
      <c r="J10" s="4"/>
      <c r="K10" s="5" t="s">
        <v>73</v>
      </c>
      <c r="L10" s="4" t="s">
        <v>385</v>
      </c>
      <c r="M10" s="4"/>
      <c r="N10" s="4"/>
      <c r="O10" s="4"/>
      <c r="P10" s="4"/>
      <c r="Q10" s="4"/>
      <c r="R10" s="4"/>
      <c r="S10" s="4"/>
      <c r="T10" s="4"/>
      <c r="U10" s="4"/>
      <c r="V10" s="4"/>
      <c r="W10" s="4"/>
      <c r="X10" s="4"/>
      <c r="Y10" s="4"/>
      <c r="Z10" s="4"/>
      <c r="AA10" s="4"/>
      <c r="AB10" s="4"/>
      <c r="AC10" s="4"/>
      <c r="AD10" s="4"/>
      <c r="AE10" s="4"/>
      <c r="AF10" s="4"/>
    </row>
    <row r="11" spans="1:32" s="1" customFormat="1" ht="31.5">
      <c r="A11" s="60" t="s">
        <v>2244</v>
      </c>
      <c r="B11" s="36" t="s">
        <v>1594</v>
      </c>
      <c r="C11" s="4" t="s">
        <v>37</v>
      </c>
      <c r="D11" s="2" t="s">
        <v>37</v>
      </c>
      <c r="E11" s="2" t="s">
        <v>144</v>
      </c>
      <c r="F11" s="2" t="s">
        <v>37</v>
      </c>
      <c r="G11" s="2" t="s">
        <v>37</v>
      </c>
      <c r="H11" s="2" t="s">
        <v>37</v>
      </c>
      <c r="I11" s="2" t="s">
        <v>283</v>
      </c>
      <c r="J11" s="2"/>
      <c r="K11" s="6" t="s">
        <v>73</v>
      </c>
      <c r="L11" s="19" t="s">
        <v>125</v>
      </c>
      <c r="M11" s="3"/>
      <c r="N11" s="3"/>
      <c r="O11" s="3"/>
      <c r="P11" s="3"/>
      <c r="Q11" s="3"/>
      <c r="R11" s="3"/>
      <c r="S11" s="3"/>
      <c r="T11" s="3"/>
      <c r="U11" s="3"/>
      <c r="V11" s="3"/>
      <c r="W11" s="3"/>
      <c r="X11" s="3"/>
      <c r="Y11" s="3"/>
      <c r="Z11" s="3"/>
      <c r="AA11" s="3"/>
      <c r="AB11" s="3"/>
      <c r="AC11" s="3"/>
      <c r="AD11" s="3"/>
      <c r="AE11" s="3"/>
      <c r="AF11" s="3"/>
    </row>
    <row r="12" spans="1:32" s="1" customFormat="1" ht="31.5">
      <c r="A12" s="60" t="s">
        <v>2245</v>
      </c>
      <c r="B12" s="25" t="s">
        <v>304</v>
      </c>
      <c r="C12" s="4" t="s">
        <v>37</v>
      </c>
      <c r="D12" s="4" t="s">
        <v>37</v>
      </c>
      <c r="E12" s="4" t="s">
        <v>1272</v>
      </c>
      <c r="F12" s="4" t="s">
        <v>218</v>
      </c>
      <c r="G12" s="4" t="s">
        <v>502</v>
      </c>
      <c r="H12" s="4" t="s">
        <v>37</v>
      </c>
      <c r="I12" s="4" t="s">
        <v>519</v>
      </c>
      <c r="J12" s="4"/>
      <c r="K12" s="5" t="s">
        <v>163</v>
      </c>
      <c r="L12" s="2" t="s">
        <v>125</v>
      </c>
      <c r="M12" s="4"/>
      <c r="N12" s="4"/>
      <c r="O12" s="4"/>
      <c r="P12" s="4"/>
      <c r="Q12" s="4"/>
      <c r="R12" s="4"/>
      <c r="S12" s="4"/>
      <c r="T12" s="4"/>
      <c r="U12" s="4"/>
      <c r="V12" s="4"/>
      <c r="W12" s="4"/>
      <c r="X12" s="4"/>
      <c r="Y12" s="4"/>
      <c r="Z12" s="4"/>
      <c r="AA12" s="4"/>
      <c r="AB12" s="4"/>
      <c r="AC12" s="4"/>
      <c r="AD12" s="4"/>
      <c r="AE12" s="11"/>
      <c r="AF12" s="11"/>
    </row>
    <row r="13" spans="1:32" s="1" customFormat="1">
      <c r="A13" s="60" t="s">
        <v>2246</v>
      </c>
      <c r="B13" s="36" t="s">
        <v>1407</v>
      </c>
      <c r="C13" s="15" t="s">
        <v>160</v>
      </c>
      <c r="D13" s="15" t="s">
        <v>37</v>
      </c>
      <c r="E13" s="15" t="s">
        <v>37</v>
      </c>
      <c r="F13" s="15" t="s">
        <v>1277</v>
      </c>
      <c r="G13" s="15" t="s">
        <v>37</v>
      </c>
      <c r="H13" s="15" t="s">
        <v>1157</v>
      </c>
      <c r="I13" s="11" t="s">
        <v>282</v>
      </c>
      <c r="J13" s="11"/>
      <c r="K13" s="9" t="s">
        <v>73</v>
      </c>
      <c r="L13" s="19" t="s">
        <v>125</v>
      </c>
    </row>
    <row r="14" spans="1:32">
      <c r="A14" s="60" t="s">
        <v>2247</v>
      </c>
      <c r="B14" s="25" t="s">
        <v>732</v>
      </c>
      <c r="C14" s="4" t="s">
        <v>160</v>
      </c>
      <c r="D14" s="4" t="s">
        <v>37</v>
      </c>
      <c r="E14" s="4" t="s">
        <v>1208</v>
      </c>
      <c r="F14" s="4" t="s">
        <v>37</v>
      </c>
      <c r="G14" s="4" t="s">
        <v>37</v>
      </c>
      <c r="H14" s="4" t="s">
        <v>37</v>
      </c>
      <c r="I14" s="4" t="s">
        <v>747</v>
      </c>
      <c r="J14" s="4"/>
      <c r="K14" s="30" t="s">
        <v>73</v>
      </c>
      <c r="L14" s="2" t="s">
        <v>125</v>
      </c>
      <c r="M14" s="4"/>
      <c r="N14" s="4"/>
      <c r="O14" s="4"/>
      <c r="P14" s="4"/>
      <c r="Q14" s="4"/>
      <c r="R14" s="4"/>
      <c r="S14" s="4"/>
      <c r="T14" s="4"/>
      <c r="U14" s="4"/>
      <c r="V14" s="4"/>
      <c r="W14" s="4"/>
      <c r="X14" s="4"/>
      <c r="Y14" s="4"/>
      <c r="Z14" s="4"/>
      <c r="AA14" s="4"/>
      <c r="AB14" s="4"/>
      <c r="AC14" s="4"/>
      <c r="AD14" s="4"/>
    </row>
    <row r="15" spans="1:32" ht="78.75">
      <c r="A15" s="60" t="s">
        <v>2248</v>
      </c>
      <c r="B15" s="36" t="s">
        <v>344</v>
      </c>
      <c r="C15" s="11" t="s">
        <v>37</v>
      </c>
      <c r="D15" s="11" t="s">
        <v>37</v>
      </c>
      <c r="E15" s="11" t="s">
        <v>343</v>
      </c>
      <c r="F15" s="11" t="s">
        <v>339</v>
      </c>
      <c r="G15" s="11" t="s">
        <v>37</v>
      </c>
      <c r="H15" s="11" t="s">
        <v>37</v>
      </c>
      <c r="I15" s="11" t="s">
        <v>340</v>
      </c>
      <c r="K15" s="9" t="s">
        <v>73</v>
      </c>
      <c r="L15" s="19" t="s">
        <v>125</v>
      </c>
    </row>
    <row r="16" spans="1:32" ht="31.5">
      <c r="A16" s="60" t="s">
        <v>2249</v>
      </c>
      <c r="B16" s="36" t="s">
        <v>284</v>
      </c>
      <c r="C16" s="11" t="s">
        <v>160</v>
      </c>
      <c r="D16" s="11" t="s">
        <v>37</v>
      </c>
      <c r="E16" s="11" t="s">
        <v>345</v>
      </c>
      <c r="F16" s="11" t="s">
        <v>37</v>
      </c>
      <c r="G16" s="11" t="s">
        <v>37</v>
      </c>
      <c r="H16" s="11" t="s">
        <v>37</v>
      </c>
      <c r="I16" s="11" t="s">
        <v>346</v>
      </c>
      <c r="K16" s="30" t="s">
        <v>73</v>
      </c>
      <c r="L16" s="19" t="s">
        <v>125</v>
      </c>
    </row>
    <row r="17" spans="1:32" s="22" customFormat="1" ht="157.5">
      <c r="A17" s="24" t="s">
        <v>2329</v>
      </c>
      <c r="B17" s="35" t="s">
        <v>1417</v>
      </c>
      <c r="C17" s="12" t="s">
        <v>160</v>
      </c>
      <c r="D17" s="4" t="s">
        <v>2064</v>
      </c>
      <c r="E17" s="4" t="s">
        <v>811</v>
      </c>
      <c r="F17" s="4" t="s">
        <v>2065</v>
      </c>
      <c r="G17" s="4" t="s">
        <v>37</v>
      </c>
      <c r="H17" s="4" t="s">
        <v>2220</v>
      </c>
      <c r="I17" s="4" t="s">
        <v>806</v>
      </c>
      <c r="J17" s="4"/>
      <c r="K17" s="4" t="s">
        <v>74</v>
      </c>
      <c r="L17" s="19" t="s">
        <v>125</v>
      </c>
      <c r="M17" s="4"/>
      <c r="N17" s="4"/>
      <c r="O17" s="4"/>
      <c r="P17" s="4"/>
      <c r="Q17" s="4"/>
      <c r="R17" s="4"/>
      <c r="S17" s="4"/>
      <c r="T17" s="4"/>
      <c r="U17" s="4"/>
      <c r="V17" s="4"/>
      <c r="W17" s="4"/>
      <c r="X17" s="4"/>
      <c r="Y17" s="4"/>
      <c r="Z17" s="4"/>
      <c r="AA17" s="4"/>
      <c r="AB17" s="4"/>
      <c r="AC17" s="4"/>
      <c r="AD17" s="4"/>
      <c r="AE17" s="4"/>
      <c r="AF17" s="4"/>
    </row>
    <row r="18" spans="1:32" s="4" customFormat="1" ht="31.5">
      <c r="A18" s="60" t="s">
        <v>2250</v>
      </c>
      <c r="B18" s="59" t="s">
        <v>290</v>
      </c>
      <c r="C18" s="4" t="s">
        <v>780</v>
      </c>
      <c r="D18" s="4" t="s">
        <v>2216</v>
      </c>
      <c r="E18" s="4" t="s">
        <v>2217</v>
      </c>
      <c r="F18" s="4" t="s">
        <v>2218</v>
      </c>
      <c r="G18" s="4" t="s">
        <v>37</v>
      </c>
      <c r="H18" s="4" t="s">
        <v>37</v>
      </c>
      <c r="I18" s="4" t="s">
        <v>2219</v>
      </c>
      <c r="K18" s="20" t="s">
        <v>164</v>
      </c>
      <c r="L18" s="4" t="s">
        <v>385</v>
      </c>
    </row>
    <row r="19" spans="1:32">
      <c r="A19" s="60" t="s">
        <v>2251</v>
      </c>
      <c r="B19" s="35" t="s">
        <v>1424</v>
      </c>
      <c r="C19" s="4" t="s">
        <v>160</v>
      </c>
      <c r="D19" s="4" t="s">
        <v>37</v>
      </c>
      <c r="E19" s="4" t="s">
        <v>109</v>
      </c>
      <c r="F19" s="4" t="s">
        <v>37</v>
      </c>
      <c r="G19" s="4" t="s">
        <v>37</v>
      </c>
      <c r="H19" s="4" t="s">
        <v>37</v>
      </c>
      <c r="I19" s="4" t="s">
        <v>804</v>
      </c>
      <c r="J19" s="4"/>
      <c r="K19" s="31" t="s">
        <v>73</v>
      </c>
      <c r="L19" s="4" t="s">
        <v>385</v>
      </c>
      <c r="M19" s="4"/>
      <c r="N19" s="4"/>
      <c r="O19" s="4"/>
      <c r="P19" s="4"/>
      <c r="Q19" s="4"/>
      <c r="R19" s="4"/>
      <c r="S19" s="4"/>
      <c r="T19" s="4"/>
      <c r="U19" s="4"/>
      <c r="V19" s="4"/>
      <c r="W19" s="4"/>
      <c r="X19" s="4"/>
      <c r="Y19" s="4"/>
      <c r="Z19" s="4"/>
      <c r="AA19" s="4"/>
      <c r="AB19" s="4"/>
      <c r="AC19" s="4"/>
      <c r="AD19" s="4"/>
      <c r="AE19" s="4"/>
      <c r="AF19" s="4"/>
    </row>
    <row r="20" spans="1:32">
      <c r="A20" s="60" t="s">
        <v>2252</v>
      </c>
      <c r="B20" s="35" t="s">
        <v>1425</v>
      </c>
      <c r="C20" s="4" t="s">
        <v>160</v>
      </c>
      <c r="D20" s="4" t="s">
        <v>37</v>
      </c>
      <c r="E20" s="4" t="s">
        <v>109</v>
      </c>
      <c r="F20" s="4" t="s">
        <v>37</v>
      </c>
      <c r="G20" s="4" t="s">
        <v>37</v>
      </c>
      <c r="H20" s="4" t="s">
        <v>37</v>
      </c>
      <c r="I20" s="4" t="s">
        <v>804</v>
      </c>
      <c r="J20" s="4"/>
      <c r="K20" s="31" t="s">
        <v>73</v>
      </c>
      <c r="L20" s="4" t="s">
        <v>385</v>
      </c>
      <c r="M20" s="4"/>
      <c r="N20" s="4"/>
      <c r="O20" s="4"/>
      <c r="P20" s="4"/>
      <c r="Q20" s="4"/>
      <c r="R20" s="4"/>
      <c r="S20" s="4"/>
      <c r="T20" s="4"/>
      <c r="U20" s="4"/>
      <c r="V20" s="4"/>
      <c r="W20" s="4"/>
      <c r="X20" s="4"/>
      <c r="Y20" s="4"/>
      <c r="Z20" s="4"/>
      <c r="AA20" s="4"/>
      <c r="AB20" s="4"/>
      <c r="AC20" s="4"/>
      <c r="AD20" s="4"/>
      <c r="AE20" s="4"/>
      <c r="AF20" s="4"/>
    </row>
    <row r="21" spans="1:32" ht="47.25">
      <c r="A21" s="60" t="s">
        <v>2253</v>
      </c>
      <c r="B21" s="34" t="s">
        <v>292</v>
      </c>
      <c r="C21" s="4" t="s">
        <v>160</v>
      </c>
      <c r="D21" s="4" t="s">
        <v>792</v>
      </c>
      <c r="E21" s="4" t="s">
        <v>546</v>
      </c>
      <c r="F21" s="4" t="s">
        <v>793</v>
      </c>
      <c r="G21" s="4" t="s">
        <v>37</v>
      </c>
      <c r="H21" s="4" t="s">
        <v>37</v>
      </c>
      <c r="I21" s="4" t="s">
        <v>794</v>
      </c>
      <c r="J21" s="4"/>
      <c r="K21" s="5" t="s">
        <v>73</v>
      </c>
      <c r="L21" s="4" t="s">
        <v>385</v>
      </c>
      <c r="M21" s="4"/>
      <c r="N21" s="4"/>
      <c r="O21" s="4"/>
      <c r="P21" s="4"/>
      <c r="Q21" s="4"/>
      <c r="R21" s="4"/>
      <c r="S21" s="4"/>
      <c r="T21" s="4"/>
      <c r="U21" s="4"/>
      <c r="V21" s="4"/>
      <c r="W21" s="4"/>
      <c r="X21" s="4"/>
      <c r="Y21" s="4"/>
      <c r="Z21" s="4"/>
      <c r="AA21" s="4"/>
      <c r="AB21" s="4"/>
      <c r="AC21" s="4"/>
      <c r="AD21" s="4"/>
      <c r="AE21" s="22"/>
      <c r="AF21" s="22"/>
    </row>
    <row r="22" spans="1:32" ht="47.25">
      <c r="A22" s="60" t="s">
        <v>2328</v>
      </c>
      <c r="B22" s="51" t="s">
        <v>293</v>
      </c>
      <c r="C22" s="4" t="s">
        <v>160</v>
      </c>
      <c r="D22" s="4" t="s">
        <v>795</v>
      </c>
      <c r="E22" s="4" t="s">
        <v>796</v>
      </c>
      <c r="F22" s="4" t="s">
        <v>37</v>
      </c>
      <c r="G22" s="4" t="s">
        <v>1316</v>
      </c>
      <c r="H22" s="4" t="s">
        <v>37</v>
      </c>
      <c r="I22" s="4" t="s">
        <v>797</v>
      </c>
      <c r="J22" s="4"/>
      <c r="K22" s="29" t="s">
        <v>74</v>
      </c>
      <c r="L22" s="4" t="s">
        <v>385</v>
      </c>
      <c r="M22" s="4"/>
      <c r="N22" s="4" t="s">
        <v>1315</v>
      </c>
      <c r="O22" s="4"/>
      <c r="P22" s="4"/>
      <c r="Q22" s="4"/>
      <c r="R22" s="4"/>
      <c r="S22" s="4"/>
      <c r="T22" s="4"/>
      <c r="U22" s="4"/>
      <c r="V22" s="4"/>
      <c r="W22" s="4"/>
      <c r="X22" s="4"/>
      <c r="Y22" s="4"/>
      <c r="Z22" s="4"/>
      <c r="AA22" s="4"/>
      <c r="AB22" s="4"/>
      <c r="AC22" s="4"/>
      <c r="AD22" s="4"/>
      <c r="AE22" s="22"/>
      <c r="AF22" s="22"/>
    </row>
    <row r="23" spans="1:32">
      <c r="A23" s="60" t="s">
        <v>2254</v>
      </c>
      <c r="B23" s="34" t="s">
        <v>1422</v>
      </c>
      <c r="C23" s="4" t="s">
        <v>780</v>
      </c>
      <c r="D23" s="4" t="s">
        <v>37</v>
      </c>
      <c r="E23" s="4" t="s">
        <v>266</v>
      </c>
      <c r="F23" s="4" t="s">
        <v>37</v>
      </c>
      <c r="G23" s="4" t="s">
        <v>37</v>
      </c>
      <c r="H23" s="4" t="s">
        <v>37</v>
      </c>
      <c r="I23" s="4" t="s">
        <v>802</v>
      </c>
      <c r="J23" s="4"/>
      <c r="K23" s="20" t="s">
        <v>164</v>
      </c>
      <c r="L23" s="4" t="s">
        <v>385</v>
      </c>
      <c r="M23" s="4"/>
      <c r="N23" s="4"/>
      <c r="O23" s="4"/>
      <c r="P23" s="4"/>
      <c r="Q23" s="4"/>
      <c r="R23" s="4"/>
      <c r="S23" s="4"/>
      <c r="T23" s="4"/>
      <c r="U23" s="4"/>
      <c r="V23" s="4"/>
      <c r="W23" s="4"/>
      <c r="X23" s="4"/>
      <c r="Y23" s="4"/>
      <c r="Z23" s="4"/>
      <c r="AA23" s="4"/>
      <c r="AB23" s="4"/>
      <c r="AC23" s="4"/>
      <c r="AD23" s="4"/>
      <c r="AE23" s="4"/>
      <c r="AF23" s="4"/>
    </row>
    <row r="24" spans="1:32" ht="63">
      <c r="A24" s="60" t="s">
        <v>2255</v>
      </c>
      <c r="B24" s="34" t="s">
        <v>871</v>
      </c>
      <c r="C24" s="4" t="s">
        <v>780</v>
      </c>
      <c r="D24" s="4" t="s">
        <v>788</v>
      </c>
      <c r="E24" s="4" t="s">
        <v>789</v>
      </c>
      <c r="F24" s="4" t="s">
        <v>37</v>
      </c>
      <c r="G24" s="4" t="s">
        <v>37</v>
      </c>
      <c r="H24" s="4" t="s">
        <v>37</v>
      </c>
      <c r="I24" s="4" t="s">
        <v>790</v>
      </c>
      <c r="J24" s="4"/>
      <c r="K24" s="27" t="s">
        <v>73</v>
      </c>
      <c r="L24" s="4" t="s">
        <v>385</v>
      </c>
      <c r="M24" s="4"/>
      <c r="N24" s="4"/>
      <c r="O24" s="4"/>
      <c r="P24" s="4"/>
      <c r="Q24" s="4"/>
      <c r="R24" s="4"/>
      <c r="S24" s="4"/>
      <c r="T24" s="4"/>
      <c r="U24" s="4"/>
      <c r="V24" s="4"/>
      <c r="W24" s="4"/>
      <c r="X24" s="4"/>
      <c r="Y24" s="4"/>
      <c r="Z24" s="4"/>
      <c r="AA24" s="4"/>
      <c r="AB24" s="4"/>
      <c r="AC24" s="4"/>
      <c r="AD24" s="4"/>
      <c r="AE24" s="22"/>
      <c r="AF24" s="22"/>
    </row>
    <row r="25" spans="1:32" ht="63">
      <c r="A25" s="60" t="s">
        <v>2327</v>
      </c>
      <c r="B25" s="52" t="s">
        <v>305</v>
      </c>
      <c r="C25" s="4" t="s">
        <v>499</v>
      </c>
      <c r="D25" s="4" t="s">
        <v>1172</v>
      </c>
      <c r="E25" s="4" t="s">
        <v>500</v>
      </c>
      <c r="F25" s="4" t="s">
        <v>218</v>
      </c>
      <c r="G25" s="4" t="s">
        <v>1313</v>
      </c>
      <c r="H25" s="4" t="s">
        <v>37</v>
      </c>
      <c r="I25" s="4" t="s">
        <v>501</v>
      </c>
      <c r="J25" s="4"/>
      <c r="K25" s="20" t="s">
        <v>74</v>
      </c>
      <c r="L25" s="2" t="s">
        <v>125</v>
      </c>
      <c r="M25" s="4"/>
      <c r="N25" s="4" t="s">
        <v>1314</v>
      </c>
      <c r="O25" s="4"/>
      <c r="P25" s="4"/>
      <c r="Q25" s="4"/>
      <c r="R25" s="4"/>
      <c r="S25" s="4"/>
      <c r="T25" s="4"/>
      <c r="U25" s="4"/>
      <c r="V25" s="4"/>
      <c r="W25" s="4"/>
      <c r="X25" s="4"/>
      <c r="Y25" s="4"/>
      <c r="Z25" s="4"/>
      <c r="AA25" s="4"/>
      <c r="AB25" s="4"/>
      <c r="AC25" s="4"/>
      <c r="AD25" s="4"/>
    </row>
    <row r="26" spans="1:32">
      <c r="A26" s="60" t="s">
        <v>2286</v>
      </c>
      <c r="B26" s="35" t="s">
        <v>1415</v>
      </c>
      <c r="C26" s="12" t="s">
        <v>160</v>
      </c>
      <c r="D26" s="4" t="s">
        <v>37</v>
      </c>
      <c r="E26" s="4" t="s">
        <v>37</v>
      </c>
      <c r="F26" s="4" t="s">
        <v>37</v>
      </c>
      <c r="G26" s="4" t="s">
        <v>37</v>
      </c>
      <c r="H26" s="4" t="s">
        <v>37</v>
      </c>
      <c r="I26" s="4" t="s">
        <v>806</v>
      </c>
      <c r="J26" s="4"/>
      <c r="K26" s="4" t="s">
        <v>73</v>
      </c>
      <c r="L26" s="4" t="s">
        <v>385</v>
      </c>
      <c r="M26" s="4"/>
      <c r="N26" s="4"/>
      <c r="O26" s="4"/>
      <c r="P26" s="4"/>
      <c r="Q26" s="4"/>
      <c r="R26" s="4"/>
      <c r="S26" s="4"/>
      <c r="T26" s="4"/>
      <c r="U26" s="4"/>
      <c r="V26" s="4"/>
      <c r="W26" s="4"/>
      <c r="X26" s="4"/>
      <c r="Y26" s="4"/>
      <c r="Z26" s="4"/>
      <c r="AA26" s="4"/>
      <c r="AB26" s="4"/>
      <c r="AC26" s="4"/>
      <c r="AD26" s="4"/>
      <c r="AE26" s="4"/>
      <c r="AF26" s="4"/>
    </row>
    <row r="27" spans="1:32" s="22" customFormat="1" ht="31.5">
      <c r="A27" s="60" t="s">
        <v>2256</v>
      </c>
      <c r="B27" s="35" t="s">
        <v>1420</v>
      </c>
      <c r="C27" s="12" t="s">
        <v>780</v>
      </c>
      <c r="D27" s="4" t="s">
        <v>815</v>
      </c>
      <c r="E27" s="4" t="s">
        <v>37</v>
      </c>
      <c r="F27" s="4" t="s">
        <v>37</v>
      </c>
      <c r="G27" s="4" t="s">
        <v>37</v>
      </c>
      <c r="H27" s="4" t="s">
        <v>37</v>
      </c>
      <c r="I27" s="4" t="s">
        <v>1151</v>
      </c>
      <c r="J27" s="4"/>
      <c r="K27" s="4" t="s">
        <v>73</v>
      </c>
      <c r="L27" s="4" t="s">
        <v>385</v>
      </c>
      <c r="M27" s="4"/>
      <c r="N27" s="4"/>
      <c r="O27" s="4"/>
      <c r="P27" s="4"/>
      <c r="Q27" s="4"/>
      <c r="R27" s="4"/>
      <c r="S27" s="4"/>
      <c r="T27" s="4"/>
      <c r="U27" s="4"/>
      <c r="V27" s="4"/>
      <c r="W27" s="4"/>
      <c r="X27" s="4"/>
      <c r="Y27" s="4"/>
      <c r="Z27" s="4"/>
      <c r="AA27" s="4"/>
      <c r="AB27" s="4"/>
      <c r="AC27" s="4"/>
      <c r="AD27" s="4"/>
      <c r="AE27" s="4"/>
      <c r="AF27" s="4"/>
    </row>
    <row r="28" spans="1:32">
      <c r="A28" s="60" t="s">
        <v>2257</v>
      </c>
      <c r="B28" s="37" t="s">
        <v>294</v>
      </c>
      <c r="C28" s="4" t="s">
        <v>780</v>
      </c>
      <c r="D28" s="4" t="s">
        <v>37</v>
      </c>
      <c r="E28" s="4" t="s">
        <v>798</v>
      </c>
      <c r="F28" s="4" t="s">
        <v>37</v>
      </c>
      <c r="G28" s="4" t="s">
        <v>37</v>
      </c>
      <c r="H28" s="4" t="s">
        <v>37</v>
      </c>
      <c r="I28" s="4" t="s">
        <v>799</v>
      </c>
      <c r="J28" s="4"/>
      <c r="K28" s="20" t="s">
        <v>164</v>
      </c>
      <c r="L28" s="4" t="s">
        <v>385</v>
      </c>
      <c r="M28" s="4"/>
      <c r="N28" s="4"/>
      <c r="O28" s="4"/>
      <c r="P28" s="4"/>
      <c r="Q28" s="4"/>
      <c r="R28" s="4"/>
      <c r="S28" s="4"/>
      <c r="T28" s="4"/>
      <c r="U28" s="4"/>
      <c r="V28" s="4"/>
      <c r="W28" s="4"/>
      <c r="X28" s="4"/>
      <c r="Y28" s="4"/>
      <c r="Z28" s="4"/>
      <c r="AA28" s="4"/>
      <c r="AB28" s="4"/>
      <c r="AC28" s="4"/>
      <c r="AD28" s="4"/>
      <c r="AE28" s="22"/>
      <c r="AF28" s="22"/>
    </row>
    <row r="29" spans="1:32" ht="63">
      <c r="A29" s="60" t="s">
        <v>2326</v>
      </c>
      <c r="B29" s="53" t="s">
        <v>2100</v>
      </c>
      <c r="C29" s="18" t="s">
        <v>37</v>
      </c>
      <c r="D29" s="4" t="s">
        <v>37</v>
      </c>
      <c r="E29" s="4" t="s">
        <v>37</v>
      </c>
      <c r="F29" s="4" t="s">
        <v>37</v>
      </c>
      <c r="G29" s="4" t="s">
        <v>37</v>
      </c>
      <c r="H29" s="4" t="s">
        <v>37</v>
      </c>
      <c r="I29" s="4" t="s">
        <v>1264</v>
      </c>
      <c r="J29" s="4"/>
      <c r="K29" s="20" t="s">
        <v>74</v>
      </c>
      <c r="L29" s="2" t="s">
        <v>125</v>
      </c>
      <c r="M29" s="4"/>
      <c r="N29" s="4"/>
      <c r="O29" s="4"/>
      <c r="P29" s="4"/>
      <c r="Q29" s="4"/>
      <c r="R29" s="4"/>
      <c r="S29" s="4"/>
      <c r="T29" s="4"/>
      <c r="U29" s="4"/>
      <c r="V29" s="4"/>
      <c r="W29" s="4"/>
      <c r="X29" s="4"/>
      <c r="Y29" s="4"/>
      <c r="Z29" s="4"/>
      <c r="AA29" s="4"/>
      <c r="AB29" s="4"/>
      <c r="AC29" s="4"/>
      <c r="AD29" s="4"/>
    </row>
    <row r="30" spans="1:32" s="22" customFormat="1" ht="110.25">
      <c r="A30" s="60" t="s">
        <v>2258</v>
      </c>
      <c r="B30" s="25" t="s">
        <v>2011</v>
      </c>
      <c r="C30" s="4" t="s">
        <v>499</v>
      </c>
      <c r="D30" s="4" t="s">
        <v>37</v>
      </c>
      <c r="E30" s="4" t="s">
        <v>500</v>
      </c>
      <c r="F30" s="4" t="s">
        <v>37</v>
      </c>
      <c r="G30" s="4" t="s">
        <v>37</v>
      </c>
      <c r="H30" s="4" t="s">
        <v>37</v>
      </c>
      <c r="I30" s="4" t="s">
        <v>2237</v>
      </c>
      <c r="J30" s="4"/>
      <c r="K30" s="20" t="s">
        <v>73</v>
      </c>
      <c r="L30" s="4" t="s">
        <v>385</v>
      </c>
      <c r="M30" s="4"/>
      <c r="N30" s="4"/>
      <c r="O30" s="4"/>
      <c r="P30" s="4"/>
      <c r="Q30" s="4"/>
      <c r="R30" s="4"/>
      <c r="S30" s="4"/>
      <c r="T30" s="4"/>
      <c r="U30" s="4"/>
      <c r="V30" s="4"/>
      <c r="W30" s="4"/>
      <c r="X30" s="4"/>
      <c r="Y30" s="4"/>
      <c r="Z30" s="4"/>
      <c r="AA30" s="4"/>
      <c r="AB30" s="4"/>
      <c r="AC30" s="4"/>
      <c r="AD30" s="4"/>
    </row>
    <row r="31" spans="1:32" s="22" customFormat="1" ht="94.5">
      <c r="A31" s="60" t="s">
        <v>2258</v>
      </c>
      <c r="B31" s="38" t="s">
        <v>1604</v>
      </c>
      <c r="C31" s="4" t="s">
        <v>499</v>
      </c>
      <c r="D31" s="4" t="s">
        <v>37</v>
      </c>
      <c r="E31" s="4" t="s">
        <v>500</v>
      </c>
      <c r="F31" s="4" t="s">
        <v>37</v>
      </c>
      <c r="G31" s="4" t="s">
        <v>37</v>
      </c>
      <c r="H31" s="4" t="s">
        <v>37</v>
      </c>
      <c r="I31" s="4" t="s">
        <v>777</v>
      </c>
      <c r="J31" s="4"/>
      <c r="K31" s="20" t="s">
        <v>73</v>
      </c>
      <c r="L31" s="4" t="s">
        <v>385</v>
      </c>
      <c r="M31" s="11"/>
      <c r="N31" s="11"/>
      <c r="O31" s="11"/>
      <c r="P31" s="11"/>
      <c r="Q31" s="11"/>
      <c r="R31" s="11"/>
      <c r="S31" s="11"/>
      <c r="T31" s="11"/>
      <c r="U31" s="11"/>
      <c r="V31" s="11"/>
      <c r="W31" s="11"/>
      <c r="X31" s="11"/>
      <c r="Y31" s="11"/>
      <c r="Z31" s="11"/>
      <c r="AA31" s="11"/>
      <c r="AB31" s="11"/>
      <c r="AC31" s="11"/>
      <c r="AD31" s="11"/>
      <c r="AE31" s="11"/>
      <c r="AF31" s="11"/>
    </row>
    <row r="32" spans="1:32" s="22" customFormat="1" ht="94.5">
      <c r="A32" s="60" t="s">
        <v>2258</v>
      </c>
      <c r="B32" s="39" t="s">
        <v>1605</v>
      </c>
      <c r="C32" s="4" t="s">
        <v>499</v>
      </c>
      <c r="D32" s="4" t="s">
        <v>37</v>
      </c>
      <c r="E32" s="4" t="s">
        <v>500</v>
      </c>
      <c r="F32" s="4" t="s">
        <v>37</v>
      </c>
      <c r="G32" s="4" t="s">
        <v>37</v>
      </c>
      <c r="H32" s="4" t="s">
        <v>37</v>
      </c>
      <c r="I32" s="4" t="s">
        <v>777</v>
      </c>
      <c r="J32" s="4"/>
      <c r="K32" s="20" t="s">
        <v>73</v>
      </c>
      <c r="L32" s="4" t="s">
        <v>385</v>
      </c>
      <c r="M32" s="11"/>
      <c r="N32" s="11"/>
      <c r="O32" s="11"/>
      <c r="P32" s="11"/>
      <c r="Q32" s="11"/>
      <c r="R32" s="11"/>
      <c r="S32" s="11"/>
      <c r="T32" s="11"/>
      <c r="U32" s="11"/>
      <c r="V32" s="11"/>
      <c r="W32" s="11"/>
      <c r="X32" s="11"/>
      <c r="Y32" s="11"/>
      <c r="Z32" s="11"/>
      <c r="AA32" s="11"/>
      <c r="AB32" s="11"/>
      <c r="AC32" s="11"/>
      <c r="AD32" s="11"/>
      <c r="AE32" s="11"/>
      <c r="AF32" s="11"/>
    </row>
    <row r="33" spans="1:32" s="22" customFormat="1">
      <c r="A33" s="60" t="s">
        <v>2259</v>
      </c>
      <c r="B33" s="25" t="s">
        <v>1617</v>
      </c>
      <c r="C33" s="12" t="s">
        <v>780</v>
      </c>
      <c r="D33" s="11" t="s">
        <v>37</v>
      </c>
      <c r="E33" s="11" t="s">
        <v>37</v>
      </c>
      <c r="F33" s="11" t="s">
        <v>546</v>
      </c>
      <c r="G33" s="11" t="s">
        <v>37</v>
      </c>
      <c r="H33" s="11" t="s">
        <v>37</v>
      </c>
      <c r="I33" s="11" t="s">
        <v>547</v>
      </c>
      <c r="J33" s="11"/>
      <c r="K33" s="10" t="s">
        <v>164</v>
      </c>
      <c r="L33" s="19" t="s">
        <v>125</v>
      </c>
      <c r="M33" s="11"/>
      <c r="N33" s="11"/>
      <c r="O33" s="11"/>
      <c r="P33" s="11"/>
      <c r="Q33" s="11"/>
      <c r="R33" s="11"/>
      <c r="S33" s="11"/>
      <c r="T33" s="11"/>
      <c r="U33" s="11"/>
      <c r="V33" s="11"/>
      <c r="W33" s="11"/>
      <c r="X33" s="11"/>
      <c r="Y33" s="11"/>
      <c r="Z33" s="11"/>
      <c r="AA33" s="11"/>
      <c r="AB33" s="11"/>
      <c r="AC33" s="11"/>
      <c r="AD33" s="11"/>
      <c r="AE33" s="11"/>
      <c r="AF33" s="11"/>
    </row>
    <row r="34" spans="1:32" s="22" customFormat="1" ht="94.5">
      <c r="A34" s="60" t="s">
        <v>2265</v>
      </c>
      <c r="B34" s="34" t="s">
        <v>310</v>
      </c>
      <c r="C34" s="23" t="s">
        <v>780</v>
      </c>
      <c r="D34" s="11" t="s">
        <v>1229</v>
      </c>
      <c r="E34" s="11" t="s">
        <v>1230</v>
      </c>
      <c r="F34" s="11" t="s">
        <v>37</v>
      </c>
      <c r="G34" s="11" t="s">
        <v>1228</v>
      </c>
      <c r="H34" s="11" t="s">
        <v>37</v>
      </c>
      <c r="I34" s="11" t="s">
        <v>1227</v>
      </c>
      <c r="J34" s="11" t="s">
        <v>1187</v>
      </c>
      <c r="K34" s="11" t="s">
        <v>164</v>
      </c>
      <c r="L34" s="11" t="s">
        <v>125</v>
      </c>
      <c r="M34" s="11"/>
      <c r="N34" s="11"/>
      <c r="O34" s="11"/>
      <c r="P34" s="11"/>
      <c r="Q34" s="11"/>
      <c r="R34" s="11"/>
      <c r="S34" s="11"/>
      <c r="T34" s="11"/>
      <c r="U34" s="11"/>
      <c r="V34" s="11"/>
      <c r="W34" s="11"/>
      <c r="X34" s="11"/>
      <c r="Y34" s="11"/>
      <c r="Z34" s="11"/>
      <c r="AA34" s="11"/>
      <c r="AB34" s="11"/>
      <c r="AC34" s="11"/>
      <c r="AD34" s="11"/>
      <c r="AE34" s="11"/>
      <c r="AF34" s="11"/>
    </row>
    <row r="35" spans="1:32" s="22" customFormat="1">
      <c r="A35" s="60" t="s">
        <v>2266</v>
      </c>
      <c r="B35" s="40" t="s">
        <v>1478</v>
      </c>
      <c r="C35" s="4" t="s">
        <v>161</v>
      </c>
      <c r="D35" s="4" t="s">
        <v>161</v>
      </c>
      <c r="E35" s="4" t="s">
        <v>161</v>
      </c>
      <c r="F35" s="4" t="s">
        <v>161</v>
      </c>
      <c r="G35" s="4" t="s">
        <v>37</v>
      </c>
      <c r="H35" s="4" t="s">
        <v>161</v>
      </c>
      <c r="I35" s="4" t="s">
        <v>757</v>
      </c>
      <c r="J35" s="4"/>
      <c r="K35" s="29" t="s">
        <v>164</v>
      </c>
      <c r="L35" s="2" t="s">
        <v>125</v>
      </c>
      <c r="M35" s="4"/>
      <c r="N35" s="4"/>
      <c r="O35" s="4"/>
      <c r="P35" s="4"/>
      <c r="Q35" s="4"/>
      <c r="R35" s="4"/>
      <c r="S35" s="4"/>
      <c r="T35" s="4"/>
      <c r="U35" s="4"/>
      <c r="V35" s="4"/>
      <c r="W35" s="4"/>
      <c r="X35" s="4"/>
      <c r="Y35" s="4"/>
      <c r="Z35" s="4"/>
      <c r="AA35" s="4"/>
      <c r="AB35" s="4"/>
      <c r="AC35" s="4"/>
      <c r="AD35" s="4"/>
      <c r="AE35" s="11"/>
      <c r="AF35" s="11"/>
    </row>
    <row r="36" spans="1:32" s="22" customFormat="1" ht="31.5">
      <c r="A36" s="60" t="s">
        <v>2267</v>
      </c>
      <c r="B36" s="41" t="s">
        <v>1421</v>
      </c>
      <c r="C36" s="4" t="s">
        <v>160</v>
      </c>
      <c r="D36" s="11" t="s">
        <v>1212</v>
      </c>
      <c r="E36" s="11" t="s">
        <v>266</v>
      </c>
      <c r="F36" s="11" t="s">
        <v>37</v>
      </c>
      <c r="G36" s="11" t="s">
        <v>37</v>
      </c>
      <c r="H36" s="11" t="s">
        <v>37</v>
      </c>
      <c r="I36" s="11" t="s">
        <v>267</v>
      </c>
      <c r="J36" s="11"/>
      <c r="K36" s="20" t="s">
        <v>73</v>
      </c>
      <c r="L36" s="19" t="s">
        <v>125</v>
      </c>
      <c r="M36" s="11"/>
      <c r="N36" s="11"/>
      <c r="O36" s="11"/>
      <c r="P36" s="11"/>
      <c r="Q36" s="11"/>
      <c r="R36" s="11"/>
      <c r="S36" s="11"/>
      <c r="T36" s="11"/>
      <c r="U36" s="4"/>
      <c r="V36" s="4"/>
      <c r="W36" s="4"/>
      <c r="X36" s="4"/>
      <c r="Y36" s="4"/>
      <c r="Z36" s="4"/>
      <c r="AA36" s="4"/>
      <c r="AB36" s="4"/>
      <c r="AC36" s="4"/>
      <c r="AD36" s="4"/>
      <c r="AE36" s="4"/>
      <c r="AF36" s="4"/>
    </row>
    <row r="37" spans="1:32" ht="31.5">
      <c r="A37" s="60" t="s">
        <v>2268</v>
      </c>
      <c r="B37" s="42" t="s">
        <v>1402</v>
      </c>
      <c r="C37" s="4" t="s">
        <v>37</v>
      </c>
      <c r="D37" s="4" t="s">
        <v>37</v>
      </c>
      <c r="E37" s="4" t="s">
        <v>37</v>
      </c>
      <c r="F37" s="4" t="s">
        <v>109</v>
      </c>
      <c r="G37" s="4" t="s">
        <v>37</v>
      </c>
      <c r="H37" s="4" t="s">
        <v>161</v>
      </c>
      <c r="I37" s="4" t="s">
        <v>617</v>
      </c>
      <c r="J37" s="4"/>
      <c r="K37" s="20" t="s">
        <v>164</v>
      </c>
      <c r="L37" s="2" t="s">
        <v>125</v>
      </c>
      <c r="M37" s="4"/>
      <c r="N37" s="4"/>
      <c r="O37" s="4"/>
      <c r="P37" s="4"/>
      <c r="Q37" s="4"/>
      <c r="R37" s="4"/>
      <c r="S37" s="4"/>
      <c r="T37" s="4"/>
      <c r="U37" s="4"/>
      <c r="V37" s="4"/>
      <c r="W37" s="4"/>
      <c r="X37" s="4"/>
      <c r="Y37" s="4"/>
      <c r="Z37" s="4"/>
      <c r="AA37" s="4"/>
      <c r="AB37" s="4"/>
      <c r="AC37" s="4"/>
      <c r="AD37" s="4"/>
    </row>
    <row r="38" spans="1:32" s="22" customFormat="1" ht="31.5">
      <c r="A38" s="60" t="s">
        <v>2268</v>
      </c>
      <c r="B38" s="39" t="s">
        <v>1403</v>
      </c>
      <c r="C38" s="4" t="s">
        <v>160</v>
      </c>
      <c r="D38" s="4" t="s">
        <v>37</v>
      </c>
      <c r="E38" s="4" t="s">
        <v>37</v>
      </c>
      <c r="F38" s="4" t="s">
        <v>37</v>
      </c>
      <c r="G38" s="4" t="s">
        <v>37</v>
      </c>
      <c r="H38" s="4" t="s">
        <v>161</v>
      </c>
      <c r="I38" s="4" t="s">
        <v>617</v>
      </c>
      <c r="J38" s="4"/>
      <c r="K38" s="20" t="s">
        <v>73</v>
      </c>
      <c r="L38" s="2" t="s">
        <v>125</v>
      </c>
      <c r="M38" s="4"/>
      <c r="N38" s="4"/>
      <c r="O38" s="4"/>
      <c r="P38" s="4"/>
      <c r="Q38" s="4"/>
      <c r="R38" s="4"/>
      <c r="S38" s="4"/>
      <c r="T38" s="4"/>
      <c r="U38" s="4"/>
      <c r="V38" s="4"/>
      <c r="W38" s="4"/>
      <c r="X38" s="4"/>
      <c r="Y38" s="4"/>
      <c r="Z38" s="4"/>
      <c r="AA38" s="4"/>
      <c r="AB38" s="4"/>
      <c r="AC38" s="4"/>
      <c r="AD38" s="4"/>
      <c r="AE38" s="11"/>
      <c r="AF38" s="11"/>
    </row>
    <row r="39" spans="1:32" s="22" customFormat="1" ht="110.25">
      <c r="A39" s="60" t="s">
        <v>2288</v>
      </c>
      <c r="B39" s="43" t="s">
        <v>818</v>
      </c>
      <c r="C39" s="12" t="s">
        <v>780</v>
      </c>
      <c r="D39" s="4" t="s">
        <v>37</v>
      </c>
      <c r="E39" s="4" t="s">
        <v>1214</v>
      </c>
      <c r="F39" s="4" t="s">
        <v>37</v>
      </c>
      <c r="G39" s="4" t="s">
        <v>1201</v>
      </c>
      <c r="H39" s="4" t="s">
        <v>37</v>
      </c>
      <c r="I39" s="4" t="s">
        <v>819</v>
      </c>
      <c r="J39" s="4"/>
      <c r="K39" s="4" t="s">
        <v>164</v>
      </c>
      <c r="L39" s="4" t="s">
        <v>385</v>
      </c>
      <c r="M39" s="4"/>
      <c r="N39" s="4"/>
      <c r="O39" s="4"/>
      <c r="P39" s="4"/>
      <c r="Q39" s="4"/>
      <c r="R39" s="4"/>
      <c r="S39" s="4"/>
      <c r="T39" s="4"/>
      <c r="U39" s="4"/>
      <c r="V39" s="4"/>
      <c r="W39" s="4"/>
      <c r="X39" s="4"/>
      <c r="Y39" s="4"/>
      <c r="Z39" s="4"/>
      <c r="AA39" s="4"/>
      <c r="AB39" s="4"/>
      <c r="AC39" s="4"/>
      <c r="AD39" s="4"/>
      <c r="AE39" s="4"/>
      <c r="AF39" s="4"/>
    </row>
    <row r="40" spans="1:32" s="22" customFormat="1" ht="63">
      <c r="A40" s="60" t="s">
        <v>2263</v>
      </c>
      <c r="B40" s="41" t="s">
        <v>1433</v>
      </c>
      <c r="C40" s="12" t="s">
        <v>160</v>
      </c>
      <c r="D40" s="4" t="s">
        <v>37</v>
      </c>
      <c r="E40" s="4" t="s">
        <v>825</v>
      </c>
      <c r="F40" s="4" t="s">
        <v>37</v>
      </c>
      <c r="G40" s="4" t="s">
        <v>37</v>
      </c>
      <c r="H40" s="4" t="s">
        <v>37</v>
      </c>
      <c r="I40" s="4" t="s">
        <v>826</v>
      </c>
      <c r="J40" s="4"/>
      <c r="K40" s="4" t="s">
        <v>73</v>
      </c>
      <c r="L40" s="4" t="s">
        <v>385</v>
      </c>
      <c r="M40" s="4"/>
      <c r="N40" s="4"/>
      <c r="O40" s="4"/>
      <c r="P40" s="4"/>
      <c r="Q40" s="4"/>
      <c r="R40" s="4"/>
      <c r="S40" s="4"/>
      <c r="T40" s="4"/>
      <c r="U40" s="4"/>
      <c r="V40" s="4"/>
      <c r="W40" s="4"/>
      <c r="X40" s="4"/>
      <c r="Y40" s="4"/>
      <c r="Z40" s="4"/>
      <c r="AA40" s="4"/>
      <c r="AB40" s="4"/>
      <c r="AC40" s="4"/>
      <c r="AD40" s="4"/>
      <c r="AE40" s="4"/>
      <c r="AF40" s="4"/>
    </row>
    <row r="41" spans="1:32" ht="63">
      <c r="A41" s="60" t="s">
        <v>2269</v>
      </c>
      <c r="B41" s="44" t="s">
        <v>285</v>
      </c>
      <c r="C41" s="32" t="s">
        <v>160</v>
      </c>
      <c r="D41" s="32" t="s">
        <v>37</v>
      </c>
      <c r="E41" s="32" t="s">
        <v>37</v>
      </c>
      <c r="F41" s="32" t="s">
        <v>1278</v>
      </c>
      <c r="G41" s="32" t="s">
        <v>366</v>
      </c>
      <c r="H41" s="32" t="s">
        <v>367</v>
      </c>
      <c r="I41" s="11" t="s">
        <v>368</v>
      </c>
      <c r="K41" s="10" t="s">
        <v>73</v>
      </c>
      <c r="L41" s="19" t="s">
        <v>125</v>
      </c>
    </row>
    <row r="42" spans="1:32" ht="47.25">
      <c r="A42" s="60" t="s">
        <v>2325</v>
      </c>
      <c r="B42" s="44" t="s">
        <v>2230</v>
      </c>
      <c r="C42" s="12" t="s">
        <v>780</v>
      </c>
      <c r="D42" s="32" t="s">
        <v>2231</v>
      </c>
      <c r="E42" s="32" t="s">
        <v>2234</v>
      </c>
      <c r="F42" s="32" t="s">
        <v>2235</v>
      </c>
      <c r="G42" s="32" t="s">
        <v>2233</v>
      </c>
      <c r="H42" s="32" t="s">
        <v>2232</v>
      </c>
      <c r="I42" s="11" t="s">
        <v>2236</v>
      </c>
      <c r="K42" s="10" t="s">
        <v>74</v>
      </c>
      <c r="L42" s="19" t="s">
        <v>125</v>
      </c>
    </row>
    <row r="43" spans="1:32" s="22" customFormat="1">
      <c r="A43" s="60" t="s">
        <v>2270</v>
      </c>
      <c r="B43" s="45" t="s">
        <v>295</v>
      </c>
      <c r="C43" s="12" t="s">
        <v>780</v>
      </c>
      <c r="D43" s="4" t="s">
        <v>37</v>
      </c>
      <c r="E43" s="4" t="s">
        <v>811</v>
      </c>
      <c r="F43" s="4" t="s">
        <v>37</v>
      </c>
      <c r="G43" s="4" t="s">
        <v>37</v>
      </c>
      <c r="H43" s="4" t="s">
        <v>37</v>
      </c>
      <c r="I43" s="4" t="s">
        <v>820</v>
      </c>
      <c r="J43" s="4"/>
      <c r="K43" s="4" t="s">
        <v>164</v>
      </c>
      <c r="L43" s="4" t="s">
        <v>385</v>
      </c>
      <c r="M43" s="4"/>
      <c r="N43" s="4"/>
      <c r="O43" s="4"/>
      <c r="P43" s="4"/>
      <c r="Q43" s="4"/>
      <c r="R43" s="4"/>
      <c r="S43" s="4"/>
      <c r="T43" s="4"/>
      <c r="U43" s="4"/>
      <c r="V43" s="4"/>
      <c r="W43" s="4"/>
      <c r="X43" s="4"/>
      <c r="Y43" s="4"/>
      <c r="Z43" s="4"/>
      <c r="AA43" s="4"/>
      <c r="AB43" s="4"/>
      <c r="AC43" s="4"/>
      <c r="AD43" s="4"/>
      <c r="AE43" s="4"/>
      <c r="AF43" s="4"/>
    </row>
    <row r="44" spans="1:32" ht="47.25">
      <c r="A44" s="24" t="s">
        <v>2324</v>
      </c>
      <c r="B44" s="53" t="s">
        <v>306</v>
      </c>
      <c r="C44" s="18" t="s">
        <v>160</v>
      </c>
      <c r="D44" s="4" t="s">
        <v>161</v>
      </c>
      <c r="E44" s="4" t="s">
        <v>37</v>
      </c>
      <c r="F44" s="4" t="s">
        <v>37</v>
      </c>
      <c r="G44" s="4" t="s">
        <v>473</v>
      </c>
      <c r="H44" s="4" t="s">
        <v>37</v>
      </c>
      <c r="I44" s="4" t="s">
        <v>474</v>
      </c>
      <c r="J44" s="4"/>
      <c r="K44" s="20" t="s">
        <v>74</v>
      </c>
      <c r="L44" s="2" t="s">
        <v>125</v>
      </c>
      <c r="M44" s="4"/>
      <c r="N44" s="4"/>
      <c r="O44" s="4"/>
      <c r="P44" s="4"/>
      <c r="Q44" s="4"/>
      <c r="R44" s="4"/>
      <c r="S44" s="4"/>
      <c r="T44" s="4"/>
      <c r="U44" s="4"/>
      <c r="V44" s="4"/>
      <c r="W44" s="4"/>
      <c r="X44" s="4"/>
      <c r="Y44" s="4"/>
      <c r="Z44" s="4"/>
      <c r="AA44" s="4"/>
      <c r="AB44" s="4"/>
      <c r="AC44" s="4"/>
      <c r="AD44" s="4"/>
    </row>
    <row r="45" spans="1:32">
      <c r="A45" s="60" t="s">
        <v>2271</v>
      </c>
      <c r="B45" s="36" t="s">
        <v>1384</v>
      </c>
      <c r="C45" s="11" t="s">
        <v>160</v>
      </c>
      <c r="D45" s="11" t="s">
        <v>37</v>
      </c>
      <c r="E45" s="11" t="s">
        <v>37</v>
      </c>
      <c r="F45" s="11" t="s">
        <v>37</v>
      </c>
      <c r="G45" s="11" t="s">
        <v>37</v>
      </c>
      <c r="H45" s="11" t="s">
        <v>37</v>
      </c>
      <c r="I45" s="11" t="s">
        <v>314</v>
      </c>
      <c r="K45" s="10" t="s">
        <v>73</v>
      </c>
      <c r="L45" s="19" t="s">
        <v>125</v>
      </c>
    </row>
    <row r="46" spans="1:32">
      <c r="A46" s="60" t="s">
        <v>2271</v>
      </c>
      <c r="B46" s="36" t="s">
        <v>1383</v>
      </c>
      <c r="C46" s="11" t="s">
        <v>160</v>
      </c>
      <c r="D46" s="11" t="s">
        <v>37</v>
      </c>
      <c r="E46" s="11" t="s">
        <v>37</v>
      </c>
      <c r="F46" s="11" t="s">
        <v>37</v>
      </c>
      <c r="G46" s="11" t="s">
        <v>37</v>
      </c>
      <c r="H46" s="11" t="s">
        <v>37</v>
      </c>
      <c r="I46" s="11" t="s">
        <v>313</v>
      </c>
      <c r="K46" s="10" t="s">
        <v>73</v>
      </c>
      <c r="L46" s="19" t="s">
        <v>125</v>
      </c>
    </row>
    <row r="47" spans="1:32">
      <c r="A47" s="60" t="s">
        <v>2272</v>
      </c>
      <c r="B47" s="36" t="s">
        <v>1451</v>
      </c>
      <c r="C47" s="27" t="s">
        <v>37</v>
      </c>
      <c r="D47" s="27" t="s">
        <v>37</v>
      </c>
      <c r="E47" s="27" t="s">
        <v>217</v>
      </c>
      <c r="F47" s="27" t="s">
        <v>37</v>
      </c>
      <c r="G47" s="27" t="s">
        <v>37</v>
      </c>
      <c r="H47" s="27" t="s">
        <v>37</v>
      </c>
      <c r="I47" s="11" t="s">
        <v>281</v>
      </c>
      <c r="K47" s="27" t="s">
        <v>73</v>
      </c>
      <c r="L47" s="19" t="s">
        <v>125</v>
      </c>
    </row>
    <row r="48" spans="1:32">
      <c r="A48" s="60" t="s">
        <v>2273</v>
      </c>
      <c r="B48" s="41" t="s">
        <v>1575</v>
      </c>
      <c r="C48" s="12" t="s">
        <v>780</v>
      </c>
      <c r="D48" s="4" t="s">
        <v>37</v>
      </c>
      <c r="E48" s="4" t="s">
        <v>37</v>
      </c>
      <c r="F48" s="4" t="s">
        <v>37</v>
      </c>
      <c r="G48" s="4" t="s">
        <v>37</v>
      </c>
      <c r="H48" s="4" t="s">
        <v>37</v>
      </c>
      <c r="I48" s="4" t="s">
        <v>828</v>
      </c>
      <c r="J48" s="4"/>
      <c r="K48" s="4" t="s">
        <v>164</v>
      </c>
      <c r="L48" s="4" t="s">
        <v>385</v>
      </c>
      <c r="M48" s="4"/>
      <c r="N48" s="4"/>
      <c r="O48" s="4"/>
      <c r="P48" s="4"/>
      <c r="Q48" s="4"/>
      <c r="R48" s="4"/>
      <c r="S48" s="4"/>
      <c r="T48" s="4"/>
      <c r="U48" s="4"/>
      <c r="V48" s="4"/>
      <c r="W48" s="4"/>
      <c r="X48" s="4"/>
      <c r="Y48" s="4"/>
      <c r="Z48" s="4"/>
      <c r="AA48" s="4"/>
      <c r="AB48" s="4"/>
      <c r="AC48" s="4"/>
      <c r="AD48" s="4"/>
      <c r="AE48" s="4"/>
      <c r="AF48" s="4"/>
    </row>
    <row r="49" spans="1:32">
      <c r="A49" s="60" t="s">
        <v>2273</v>
      </c>
      <c r="B49" s="34" t="s">
        <v>1576</v>
      </c>
      <c r="C49" s="12" t="s">
        <v>780</v>
      </c>
      <c r="D49" s="4" t="s">
        <v>37</v>
      </c>
      <c r="E49" s="4" t="s">
        <v>37</v>
      </c>
      <c r="F49" s="4" t="s">
        <v>37</v>
      </c>
      <c r="G49" s="4" t="s">
        <v>37</v>
      </c>
      <c r="H49" s="4" t="s">
        <v>37</v>
      </c>
      <c r="I49" s="4" t="s">
        <v>828</v>
      </c>
      <c r="J49" s="4"/>
      <c r="K49" s="16" t="s">
        <v>164</v>
      </c>
      <c r="L49" s="4" t="s">
        <v>385</v>
      </c>
      <c r="M49" s="4"/>
      <c r="N49" s="4"/>
      <c r="O49" s="4"/>
      <c r="P49" s="4"/>
      <c r="Q49" s="4"/>
      <c r="R49" s="4"/>
      <c r="S49" s="4"/>
      <c r="T49" s="4"/>
      <c r="U49" s="4"/>
      <c r="V49" s="4"/>
      <c r="W49" s="4"/>
      <c r="X49" s="4"/>
      <c r="Y49" s="4"/>
      <c r="Z49" s="4"/>
      <c r="AA49" s="4"/>
      <c r="AB49" s="4"/>
      <c r="AC49" s="4"/>
      <c r="AD49" s="4"/>
      <c r="AE49" s="4"/>
      <c r="AF49" s="4"/>
    </row>
    <row r="50" spans="1:32" ht="78.75">
      <c r="A50" s="60" t="s">
        <v>2274</v>
      </c>
      <c r="B50" s="25" t="s">
        <v>681</v>
      </c>
      <c r="C50" s="28" t="s">
        <v>37</v>
      </c>
      <c r="D50" s="28" t="s">
        <v>37</v>
      </c>
      <c r="E50" s="4" t="s">
        <v>220</v>
      </c>
      <c r="F50" s="4" t="s">
        <v>37</v>
      </c>
      <c r="G50" s="4" t="s">
        <v>161</v>
      </c>
      <c r="H50" s="4" t="s">
        <v>748</v>
      </c>
      <c r="I50" s="4" t="s">
        <v>749</v>
      </c>
      <c r="J50" s="4"/>
      <c r="K50" s="20" t="s">
        <v>163</v>
      </c>
      <c r="L50" s="2" t="s">
        <v>125</v>
      </c>
      <c r="M50" s="4"/>
      <c r="N50" s="4"/>
      <c r="O50" s="4"/>
      <c r="P50" s="4"/>
      <c r="Q50" s="4"/>
      <c r="R50" s="4"/>
      <c r="S50" s="4"/>
      <c r="T50" s="4"/>
      <c r="U50" s="4"/>
      <c r="V50" s="4"/>
      <c r="W50" s="4"/>
      <c r="X50" s="4"/>
      <c r="Y50" s="4"/>
      <c r="Z50" s="4"/>
      <c r="AA50" s="4"/>
      <c r="AB50" s="4"/>
      <c r="AC50" s="4"/>
      <c r="AD50" s="4"/>
    </row>
    <row r="51" spans="1:32" ht="31.5">
      <c r="A51" s="60" t="s">
        <v>2275</v>
      </c>
      <c r="B51" s="42" t="s">
        <v>1449</v>
      </c>
      <c r="C51" s="4" t="s">
        <v>37</v>
      </c>
      <c r="D51" s="4" t="s">
        <v>37</v>
      </c>
      <c r="E51" s="4" t="s">
        <v>778</v>
      </c>
      <c r="F51" s="4" t="s">
        <v>37</v>
      </c>
      <c r="G51" s="4" t="s">
        <v>37</v>
      </c>
      <c r="H51" s="4" t="s">
        <v>37</v>
      </c>
      <c r="I51" s="4" t="s">
        <v>779</v>
      </c>
      <c r="J51" s="4"/>
      <c r="K51" s="20" t="s">
        <v>73</v>
      </c>
      <c r="L51" s="4" t="s">
        <v>385</v>
      </c>
      <c r="M51" s="4"/>
      <c r="N51" s="4"/>
      <c r="O51" s="4"/>
      <c r="P51" s="4"/>
      <c r="Q51" s="4"/>
      <c r="R51" s="4"/>
      <c r="S51" s="4"/>
      <c r="T51" s="4"/>
      <c r="U51" s="4"/>
      <c r="V51" s="4"/>
      <c r="W51" s="4"/>
      <c r="X51" s="4"/>
      <c r="Y51" s="4"/>
      <c r="Z51" s="4"/>
      <c r="AA51" s="4"/>
      <c r="AB51" s="4"/>
      <c r="AC51" s="4"/>
      <c r="AD51" s="4"/>
      <c r="AE51" s="22"/>
      <c r="AF51" s="22"/>
    </row>
    <row r="52" spans="1:32" ht="63">
      <c r="A52" s="60" t="s">
        <v>2264</v>
      </c>
      <c r="B52" s="34" t="s">
        <v>1521</v>
      </c>
      <c r="C52" s="17" t="s">
        <v>780</v>
      </c>
      <c r="D52" s="4" t="s">
        <v>37</v>
      </c>
      <c r="E52" s="4" t="s">
        <v>825</v>
      </c>
      <c r="F52" s="4" t="s">
        <v>37</v>
      </c>
      <c r="G52" s="4" t="s">
        <v>37</v>
      </c>
      <c r="H52" s="4" t="s">
        <v>37</v>
      </c>
      <c r="I52" s="4" t="s">
        <v>826</v>
      </c>
      <c r="J52" s="4"/>
      <c r="K52" s="18" t="s">
        <v>73</v>
      </c>
      <c r="L52" s="4" t="s">
        <v>385</v>
      </c>
      <c r="M52" s="4"/>
      <c r="N52" s="4"/>
      <c r="O52" s="4"/>
      <c r="P52" s="4"/>
      <c r="Q52" s="4"/>
      <c r="R52" s="4"/>
      <c r="S52" s="4"/>
      <c r="T52" s="4"/>
      <c r="U52" s="4"/>
      <c r="V52" s="4"/>
      <c r="W52" s="4"/>
      <c r="X52" s="4"/>
      <c r="Y52" s="4"/>
      <c r="Z52" s="4"/>
      <c r="AA52" s="4"/>
      <c r="AB52" s="4"/>
      <c r="AC52" s="4"/>
      <c r="AD52" s="4"/>
      <c r="AE52" s="4"/>
      <c r="AF52" s="4"/>
    </row>
    <row r="53" spans="1:32" ht="47.25">
      <c r="A53" s="60" t="s">
        <v>2260</v>
      </c>
      <c r="B53" s="36" t="s">
        <v>1457</v>
      </c>
      <c r="C53" s="4" t="s">
        <v>37</v>
      </c>
      <c r="D53" s="2" t="s">
        <v>37</v>
      </c>
      <c r="E53" s="2" t="s">
        <v>224</v>
      </c>
      <c r="F53" s="2" t="s">
        <v>37</v>
      </c>
      <c r="G53" s="2" t="s">
        <v>37</v>
      </c>
      <c r="H53" s="2" t="s">
        <v>109</v>
      </c>
      <c r="I53" s="11" t="s">
        <v>279</v>
      </c>
      <c r="K53" s="27" t="s">
        <v>164</v>
      </c>
      <c r="L53" s="19" t="s">
        <v>125</v>
      </c>
      <c r="M53" s="3"/>
      <c r="N53" s="3"/>
      <c r="O53" s="3"/>
      <c r="P53" s="3"/>
      <c r="Q53" s="3"/>
      <c r="R53" s="3"/>
      <c r="S53" s="3"/>
      <c r="T53" s="3"/>
      <c r="U53" s="3"/>
      <c r="V53" s="3"/>
      <c r="W53" s="3"/>
      <c r="X53" s="3"/>
      <c r="Y53" s="3"/>
      <c r="Z53" s="3"/>
      <c r="AA53" s="3"/>
      <c r="AB53" s="3"/>
      <c r="AC53" s="3"/>
      <c r="AD53" s="3"/>
      <c r="AE53" s="3"/>
      <c r="AF53" s="3"/>
    </row>
    <row r="54" spans="1:32" ht="47.25">
      <c r="A54" s="60" t="s">
        <v>2276</v>
      </c>
      <c r="B54" s="25" t="s">
        <v>658</v>
      </c>
      <c r="C54" s="17" t="s">
        <v>160</v>
      </c>
      <c r="D54" s="17" t="s">
        <v>37</v>
      </c>
      <c r="E54" s="4" t="s">
        <v>37</v>
      </c>
      <c r="F54" s="4" t="s">
        <v>37</v>
      </c>
      <c r="G54" s="4" t="s">
        <v>37</v>
      </c>
      <c r="H54" s="4" t="s">
        <v>37</v>
      </c>
      <c r="I54" s="4" t="s">
        <v>656</v>
      </c>
      <c r="J54" s="4"/>
      <c r="K54" s="20" t="s">
        <v>73</v>
      </c>
      <c r="L54" s="2" t="s">
        <v>125</v>
      </c>
      <c r="M54" s="4"/>
      <c r="N54" s="4"/>
      <c r="O54" s="4"/>
      <c r="P54" s="4"/>
      <c r="Q54" s="4"/>
      <c r="R54" s="4"/>
      <c r="S54" s="4"/>
      <c r="T54" s="4"/>
      <c r="U54" s="4"/>
      <c r="V54" s="4"/>
      <c r="W54" s="4"/>
      <c r="X54" s="4"/>
      <c r="Y54" s="4"/>
      <c r="Z54" s="4"/>
      <c r="AA54" s="4"/>
      <c r="AB54" s="4"/>
      <c r="AC54" s="4"/>
      <c r="AD54" s="4"/>
    </row>
    <row r="55" spans="1:32" ht="78.75">
      <c r="A55" s="60" t="s">
        <v>2277</v>
      </c>
      <c r="B55" s="34" t="s">
        <v>1590</v>
      </c>
      <c r="C55" s="4" t="s">
        <v>160</v>
      </c>
      <c r="D55" s="4" t="s">
        <v>37</v>
      </c>
      <c r="E55" s="4" t="s">
        <v>37</v>
      </c>
      <c r="F55" s="4" t="s">
        <v>781</v>
      </c>
      <c r="G55" s="4" t="s">
        <v>1193</v>
      </c>
      <c r="H55" s="4" t="s">
        <v>37</v>
      </c>
      <c r="I55" s="4" t="s">
        <v>782</v>
      </c>
      <c r="J55" s="4"/>
      <c r="K55" s="20" t="s">
        <v>73</v>
      </c>
      <c r="L55" s="4" t="s">
        <v>385</v>
      </c>
      <c r="M55" s="4"/>
      <c r="N55" s="4"/>
      <c r="O55" s="4"/>
      <c r="P55" s="4"/>
      <c r="Q55" s="4"/>
      <c r="R55" s="4"/>
      <c r="S55" s="4"/>
      <c r="T55" s="4"/>
      <c r="U55" s="4"/>
      <c r="V55" s="4"/>
      <c r="W55" s="4"/>
      <c r="X55" s="4"/>
      <c r="Y55" s="4"/>
      <c r="Z55" s="4"/>
      <c r="AA55" s="4"/>
      <c r="AB55" s="4"/>
      <c r="AC55" s="4"/>
      <c r="AD55" s="4"/>
      <c r="AE55" s="22"/>
      <c r="AF55" s="22"/>
    </row>
    <row r="56" spans="1:32">
      <c r="A56" s="60" t="s">
        <v>2278</v>
      </c>
      <c r="B56" s="35" t="s">
        <v>1418</v>
      </c>
      <c r="C56" s="12" t="s">
        <v>160</v>
      </c>
      <c r="D56" s="4" t="s">
        <v>37</v>
      </c>
      <c r="E56" s="4" t="s">
        <v>811</v>
      </c>
      <c r="F56" s="4" t="s">
        <v>37</v>
      </c>
      <c r="G56" s="4" t="s">
        <v>37</v>
      </c>
      <c r="H56" s="4" t="s">
        <v>37</v>
      </c>
      <c r="I56" s="4" t="s">
        <v>812</v>
      </c>
      <c r="J56" s="4"/>
      <c r="K56" s="4" t="s">
        <v>73</v>
      </c>
      <c r="L56" s="4" t="s">
        <v>385</v>
      </c>
      <c r="M56" s="4"/>
      <c r="N56" s="4"/>
      <c r="O56" s="4"/>
      <c r="P56" s="4"/>
      <c r="Q56" s="4"/>
      <c r="R56" s="4"/>
      <c r="S56" s="4"/>
      <c r="T56" s="4"/>
      <c r="U56" s="4"/>
      <c r="V56" s="4"/>
      <c r="W56" s="4"/>
      <c r="X56" s="4"/>
      <c r="Y56" s="4"/>
      <c r="Z56" s="4"/>
      <c r="AA56" s="4"/>
      <c r="AB56" s="4"/>
      <c r="AC56" s="4"/>
      <c r="AD56" s="4"/>
      <c r="AE56" s="4"/>
      <c r="AF56" s="4"/>
    </row>
    <row r="57" spans="1:32" ht="78.75">
      <c r="A57" s="60" t="s">
        <v>2279</v>
      </c>
      <c r="B57" s="34" t="s">
        <v>296</v>
      </c>
      <c r="C57" s="4" t="s">
        <v>780</v>
      </c>
      <c r="D57" s="4" t="s">
        <v>800</v>
      </c>
      <c r="E57" s="4" t="s">
        <v>1204</v>
      </c>
      <c r="F57" s="4" t="s">
        <v>37</v>
      </c>
      <c r="G57" s="4" t="s">
        <v>1192</v>
      </c>
      <c r="H57" s="4" t="s">
        <v>801</v>
      </c>
      <c r="I57" s="4" t="s">
        <v>1191</v>
      </c>
      <c r="J57" s="4"/>
      <c r="K57" s="20" t="s">
        <v>73</v>
      </c>
      <c r="L57" s="4" t="s">
        <v>385</v>
      </c>
      <c r="M57" s="4"/>
      <c r="N57" s="4"/>
      <c r="O57" s="4"/>
      <c r="P57" s="4"/>
      <c r="Q57" s="4"/>
      <c r="R57" s="4"/>
      <c r="S57" s="4"/>
      <c r="T57" s="4"/>
      <c r="U57" s="4"/>
      <c r="V57" s="4"/>
      <c r="W57" s="4"/>
      <c r="X57" s="4"/>
      <c r="Y57" s="4"/>
      <c r="Z57" s="4"/>
      <c r="AA57" s="4"/>
      <c r="AB57" s="4"/>
      <c r="AC57" s="4"/>
      <c r="AD57" s="4"/>
      <c r="AE57" s="22"/>
      <c r="AF57" s="22"/>
    </row>
    <row r="58" spans="1:32" ht="89.1" customHeight="1">
      <c r="A58" s="60" t="s">
        <v>2323</v>
      </c>
      <c r="B58" s="52" t="s">
        <v>302</v>
      </c>
      <c r="C58" s="12" t="s">
        <v>160</v>
      </c>
      <c r="D58" s="4" t="s">
        <v>1153</v>
      </c>
      <c r="E58" s="4" t="s">
        <v>1154</v>
      </c>
      <c r="F58" s="4" t="s">
        <v>1273</v>
      </c>
      <c r="G58" s="4" t="s">
        <v>1202</v>
      </c>
      <c r="H58" s="4" t="s">
        <v>1155</v>
      </c>
      <c r="I58" s="4" t="s">
        <v>1156</v>
      </c>
      <c r="J58" s="4"/>
      <c r="K58" s="16" t="s">
        <v>74</v>
      </c>
      <c r="L58" s="4" t="s">
        <v>125</v>
      </c>
      <c r="M58" s="4"/>
      <c r="N58" s="4" t="s">
        <v>1315</v>
      </c>
      <c r="O58" s="4"/>
      <c r="P58" s="4"/>
      <c r="Q58" s="4"/>
      <c r="R58" s="4"/>
      <c r="S58" s="4"/>
      <c r="T58" s="4"/>
      <c r="U58" s="4"/>
      <c r="V58" s="4"/>
      <c r="W58" s="4"/>
      <c r="X58" s="4"/>
      <c r="Y58" s="4"/>
      <c r="Z58" s="4"/>
      <c r="AA58" s="4"/>
      <c r="AB58" s="4"/>
      <c r="AC58" s="4"/>
      <c r="AD58" s="4"/>
      <c r="AE58" s="4"/>
      <c r="AF58" s="4"/>
    </row>
    <row r="59" spans="1:32">
      <c r="A59" s="60" t="s">
        <v>2280</v>
      </c>
      <c r="B59" s="35" t="s">
        <v>297</v>
      </c>
      <c r="C59" s="12" t="s">
        <v>499</v>
      </c>
      <c r="D59" s="4" t="s">
        <v>37</v>
      </c>
      <c r="E59" s="4" t="s">
        <v>821</v>
      </c>
      <c r="F59" s="4" t="s">
        <v>37</v>
      </c>
      <c r="G59" s="4" t="s">
        <v>37</v>
      </c>
      <c r="H59" s="4" t="s">
        <v>37</v>
      </c>
      <c r="I59" s="4" t="s">
        <v>805</v>
      </c>
      <c r="J59" s="4"/>
      <c r="K59" s="4" t="s">
        <v>73</v>
      </c>
      <c r="L59" s="4" t="s">
        <v>385</v>
      </c>
      <c r="M59" s="4"/>
      <c r="N59" s="4"/>
      <c r="O59" s="4"/>
      <c r="P59" s="4"/>
      <c r="Q59" s="4"/>
      <c r="R59" s="4"/>
      <c r="S59" s="4"/>
      <c r="T59" s="4"/>
      <c r="U59" s="4"/>
      <c r="V59" s="4"/>
      <c r="W59" s="4"/>
      <c r="X59" s="4"/>
      <c r="Y59" s="4"/>
      <c r="Z59" s="4"/>
      <c r="AA59" s="4"/>
      <c r="AB59" s="4"/>
      <c r="AC59" s="4"/>
      <c r="AD59" s="4"/>
      <c r="AE59" s="4"/>
      <c r="AF59" s="4"/>
    </row>
    <row r="60" spans="1:32">
      <c r="A60" s="60" t="s">
        <v>2281</v>
      </c>
      <c r="B60" s="26" t="s">
        <v>1592</v>
      </c>
      <c r="C60" s="15" t="s">
        <v>160</v>
      </c>
      <c r="D60" s="15" t="s">
        <v>37</v>
      </c>
      <c r="E60" s="15" t="s">
        <v>172</v>
      </c>
      <c r="F60" s="15" t="s">
        <v>37</v>
      </c>
      <c r="G60" s="15" t="s">
        <v>1189</v>
      </c>
      <c r="H60" s="15" t="s">
        <v>37</v>
      </c>
      <c r="I60" s="11" t="s">
        <v>283</v>
      </c>
      <c r="K60" s="6" t="s">
        <v>73</v>
      </c>
      <c r="L60" s="19" t="s">
        <v>125</v>
      </c>
      <c r="M60" s="1"/>
      <c r="N60" s="1"/>
      <c r="O60" s="1"/>
      <c r="P60" s="1"/>
      <c r="Q60" s="1"/>
      <c r="R60" s="1"/>
      <c r="S60" s="1"/>
      <c r="T60" s="1"/>
      <c r="U60" s="1"/>
      <c r="V60" s="1"/>
      <c r="W60" s="1"/>
      <c r="X60" s="1"/>
      <c r="Y60" s="1"/>
      <c r="Z60" s="1"/>
      <c r="AA60" s="1"/>
      <c r="AB60" s="1"/>
      <c r="AC60" s="1"/>
      <c r="AD60" s="1"/>
      <c r="AE60" s="1"/>
      <c r="AF60" s="1"/>
    </row>
    <row r="61" spans="1:32">
      <c r="A61" s="60" t="s">
        <v>2282</v>
      </c>
      <c r="B61" s="35" t="s">
        <v>1426</v>
      </c>
      <c r="C61" s="4" t="s">
        <v>160</v>
      </c>
      <c r="D61" s="4" t="s">
        <v>37</v>
      </c>
      <c r="E61" s="4" t="s">
        <v>37</v>
      </c>
      <c r="F61" s="4" t="s">
        <v>37</v>
      </c>
      <c r="G61" s="4" t="s">
        <v>37</v>
      </c>
      <c r="H61" s="4" t="s">
        <v>37</v>
      </c>
      <c r="I61" s="4" t="s">
        <v>805</v>
      </c>
      <c r="J61" s="4"/>
      <c r="K61" s="4" t="s">
        <v>73</v>
      </c>
      <c r="L61" s="4" t="s">
        <v>385</v>
      </c>
      <c r="M61" s="4"/>
      <c r="N61" s="4"/>
      <c r="O61" s="4"/>
      <c r="P61" s="4"/>
      <c r="Q61" s="4"/>
      <c r="R61" s="4"/>
      <c r="S61" s="4"/>
      <c r="T61" s="4"/>
      <c r="U61" s="4"/>
      <c r="V61" s="4"/>
      <c r="W61" s="4"/>
      <c r="X61" s="4"/>
      <c r="Y61" s="4"/>
      <c r="Z61" s="4"/>
      <c r="AA61" s="4"/>
      <c r="AB61" s="4"/>
      <c r="AC61" s="4"/>
      <c r="AD61" s="4"/>
      <c r="AE61" s="4"/>
      <c r="AF61" s="4"/>
    </row>
    <row r="62" spans="1:32" ht="78.75">
      <c r="A62" s="60" t="s">
        <v>2322</v>
      </c>
      <c r="B62" s="54" t="s">
        <v>307</v>
      </c>
      <c r="C62" s="18" t="s">
        <v>160</v>
      </c>
      <c r="D62" s="11" t="s">
        <v>399</v>
      </c>
      <c r="E62" s="11" t="s">
        <v>401</v>
      </c>
      <c r="F62" s="11" t="s">
        <v>400</v>
      </c>
      <c r="G62" s="11" t="s">
        <v>161</v>
      </c>
      <c r="H62" s="11" t="s">
        <v>402</v>
      </c>
      <c r="I62" s="11" t="s">
        <v>398</v>
      </c>
      <c r="K62" s="10" t="s">
        <v>74</v>
      </c>
      <c r="L62" s="19" t="s">
        <v>125</v>
      </c>
    </row>
    <row r="63" spans="1:32" ht="31.5">
      <c r="A63" s="60" t="s">
        <v>2283</v>
      </c>
      <c r="B63" s="35" t="s">
        <v>288</v>
      </c>
      <c r="C63" s="12" t="s">
        <v>160</v>
      </c>
      <c r="D63" s="4" t="s">
        <v>37</v>
      </c>
      <c r="E63" s="4" t="s">
        <v>1213</v>
      </c>
      <c r="F63" s="4" t="s">
        <v>37</v>
      </c>
      <c r="G63" s="4" t="s">
        <v>37</v>
      </c>
      <c r="H63" s="4" t="s">
        <v>37</v>
      </c>
      <c r="I63" s="4" t="s">
        <v>807</v>
      </c>
      <c r="J63" s="4"/>
      <c r="K63" s="6" t="s">
        <v>73</v>
      </c>
      <c r="L63" s="4" t="s">
        <v>385</v>
      </c>
      <c r="M63" s="4"/>
      <c r="N63" s="4"/>
      <c r="O63" s="4"/>
      <c r="P63" s="4"/>
      <c r="Q63" s="4"/>
      <c r="R63" s="4"/>
      <c r="S63" s="4"/>
      <c r="T63" s="4"/>
      <c r="U63" s="4"/>
      <c r="V63" s="4"/>
      <c r="W63" s="4"/>
      <c r="X63" s="4"/>
      <c r="Y63" s="4"/>
      <c r="Z63" s="4"/>
      <c r="AA63" s="4"/>
      <c r="AB63" s="4"/>
      <c r="AC63" s="4"/>
      <c r="AD63" s="4"/>
      <c r="AE63" s="4"/>
      <c r="AF63" s="4"/>
    </row>
    <row r="64" spans="1:32">
      <c r="A64" s="60" t="s">
        <v>2261</v>
      </c>
      <c r="B64" s="46" t="s">
        <v>1406</v>
      </c>
      <c r="C64" s="15" t="s">
        <v>160</v>
      </c>
      <c r="D64" s="15" t="s">
        <v>37</v>
      </c>
      <c r="E64" s="15" t="s">
        <v>37</v>
      </c>
      <c r="F64" s="15" t="s">
        <v>37</v>
      </c>
      <c r="G64" s="15" t="s">
        <v>37</v>
      </c>
      <c r="H64" s="15" t="s">
        <v>37</v>
      </c>
      <c r="I64" s="11" t="s">
        <v>280</v>
      </c>
      <c r="K64" s="10" t="s">
        <v>73</v>
      </c>
      <c r="L64" s="19" t="s">
        <v>125</v>
      </c>
      <c r="M64" s="1"/>
      <c r="N64" s="1"/>
      <c r="O64" s="1"/>
      <c r="P64" s="1"/>
      <c r="Q64" s="1"/>
      <c r="R64" s="1"/>
      <c r="S64" s="1"/>
      <c r="T64" s="1"/>
      <c r="U64" s="1"/>
      <c r="V64" s="1"/>
      <c r="W64" s="1"/>
      <c r="X64" s="1"/>
      <c r="Y64" s="1"/>
      <c r="Z64" s="1"/>
      <c r="AA64" s="1"/>
      <c r="AB64" s="1"/>
      <c r="AC64" s="1"/>
      <c r="AD64" s="1"/>
      <c r="AE64" s="1"/>
      <c r="AF64" s="1"/>
    </row>
    <row r="65" spans="1:32" ht="173.25">
      <c r="A65" s="60" t="s">
        <v>2321</v>
      </c>
      <c r="B65" s="55" t="s">
        <v>298</v>
      </c>
      <c r="C65" s="17" t="s">
        <v>160</v>
      </c>
      <c r="D65" s="18" t="s">
        <v>37</v>
      </c>
      <c r="E65" s="4" t="s">
        <v>822</v>
      </c>
      <c r="F65" s="4" t="s">
        <v>823</v>
      </c>
      <c r="G65" s="4" t="s">
        <v>1317</v>
      </c>
      <c r="H65" s="4" t="s">
        <v>37</v>
      </c>
      <c r="I65" s="4" t="s">
        <v>824</v>
      </c>
      <c r="J65" s="4"/>
      <c r="K65" s="4" t="s">
        <v>74</v>
      </c>
      <c r="L65" s="4" t="s">
        <v>385</v>
      </c>
      <c r="M65" s="4"/>
      <c r="N65" s="4" t="s">
        <v>1315</v>
      </c>
      <c r="O65" s="4"/>
      <c r="P65" s="4"/>
      <c r="Q65" s="4"/>
      <c r="R65" s="4"/>
      <c r="S65" s="4"/>
      <c r="T65" s="4"/>
      <c r="U65" s="4"/>
      <c r="V65" s="4"/>
      <c r="W65" s="4"/>
      <c r="X65" s="4"/>
      <c r="Y65" s="4"/>
      <c r="Z65" s="4"/>
      <c r="AA65" s="4"/>
      <c r="AB65" s="4"/>
      <c r="AC65" s="4"/>
      <c r="AD65" s="4"/>
      <c r="AE65" s="4"/>
      <c r="AF65" s="4"/>
    </row>
    <row r="66" spans="1:32" ht="63">
      <c r="A66" s="60" t="s">
        <v>2284</v>
      </c>
      <c r="B66" s="26" t="s">
        <v>1368</v>
      </c>
      <c r="C66" s="4" t="s">
        <v>37</v>
      </c>
      <c r="D66" s="4" t="s">
        <v>37</v>
      </c>
      <c r="E66" s="4" t="s">
        <v>1271</v>
      </c>
      <c r="F66" s="4" t="s">
        <v>37</v>
      </c>
      <c r="G66" s="4" t="s">
        <v>1630</v>
      </c>
      <c r="H66" s="4" t="s">
        <v>618</v>
      </c>
      <c r="I66" s="4" t="s">
        <v>1195</v>
      </c>
      <c r="J66" s="4"/>
      <c r="K66" s="20" t="s">
        <v>73</v>
      </c>
      <c r="L66" s="2" t="s">
        <v>125</v>
      </c>
      <c r="M66" s="4"/>
      <c r="N66" s="4"/>
      <c r="O66" s="4"/>
      <c r="P66" s="4"/>
      <c r="Q66" s="4"/>
      <c r="R66" s="4"/>
      <c r="S66" s="4"/>
      <c r="T66" s="4"/>
      <c r="U66" s="4"/>
      <c r="V66" s="4"/>
      <c r="W66" s="4"/>
      <c r="X66" s="4"/>
      <c r="Y66" s="4"/>
      <c r="Z66" s="4"/>
      <c r="AA66" s="4"/>
      <c r="AB66" s="4"/>
      <c r="AC66" s="4"/>
      <c r="AD66" s="4"/>
    </row>
    <row r="67" spans="1:32" ht="47.25">
      <c r="A67" s="60" t="s">
        <v>2285</v>
      </c>
      <c r="B67" s="21" t="s">
        <v>2073</v>
      </c>
      <c r="C67" s="4" t="s">
        <v>160</v>
      </c>
      <c r="D67" s="4" t="s">
        <v>37</v>
      </c>
      <c r="E67" s="4" t="s">
        <v>2095</v>
      </c>
      <c r="F67" s="4" t="s">
        <v>109</v>
      </c>
      <c r="G67" s="4" t="s">
        <v>2096</v>
      </c>
      <c r="H67" s="4" t="s">
        <v>37</v>
      </c>
      <c r="I67" s="4" t="s">
        <v>2097</v>
      </c>
      <c r="J67" s="4"/>
      <c r="K67" s="6" t="s">
        <v>73</v>
      </c>
      <c r="L67" s="2" t="s">
        <v>125</v>
      </c>
      <c r="M67" s="4"/>
      <c r="N67" s="4"/>
      <c r="O67" s="4"/>
      <c r="P67" s="4"/>
      <c r="Q67" s="4"/>
      <c r="R67" s="4"/>
      <c r="S67" s="4"/>
      <c r="T67" s="4"/>
      <c r="U67" s="4"/>
      <c r="V67" s="4"/>
      <c r="W67" s="4"/>
      <c r="X67" s="4"/>
      <c r="Y67" s="4"/>
      <c r="Z67" s="4"/>
      <c r="AA67" s="4"/>
      <c r="AB67" s="4"/>
      <c r="AC67" s="4"/>
      <c r="AD67" s="4"/>
    </row>
    <row r="68" spans="1:32">
      <c r="A68" s="60" t="s">
        <v>2287</v>
      </c>
      <c r="B68" s="35" t="s">
        <v>287</v>
      </c>
      <c r="C68" s="12" t="s">
        <v>780</v>
      </c>
      <c r="D68" s="4" t="s">
        <v>37</v>
      </c>
      <c r="E68" s="4" t="s">
        <v>37</v>
      </c>
      <c r="F68" s="4" t="s">
        <v>37</v>
      </c>
      <c r="G68" s="4" t="s">
        <v>37</v>
      </c>
      <c r="H68" s="4" t="s">
        <v>37</v>
      </c>
      <c r="I68" s="4" t="s">
        <v>806</v>
      </c>
      <c r="J68" s="4"/>
      <c r="K68" s="18" t="s">
        <v>164</v>
      </c>
      <c r="L68" s="4" t="s">
        <v>385</v>
      </c>
      <c r="M68" s="4"/>
      <c r="N68" s="4"/>
      <c r="O68" s="4"/>
      <c r="P68" s="4"/>
      <c r="Q68" s="4"/>
      <c r="R68" s="4"/>
      <c r="S68" s="4"/>
      <c r="T68" s="4"/>
      <c r="U68" s="4"/>
      <c r="V68" s="4"/>
      <c r="W68" s="4"/>
      <c r="X68" s="4"/>
      <c r="Y68" s="4"/>
      <c r="Z68" s="4"/>
      <c r="AA68" s="4"/>
      <c r="AB68" s="4"/>
      <c r="AC68" s="4"/>
      <c r="AD68" s="4"/>
      <c r="AE68" s="4"/>
      <c r="AF68" s="4"/>
    </row>
    <row r="69" spans="1:32">
      <c r="A69" s="60" t="s">
        <v>2289</v>
      </c>
      <c r="B69" s="26" t="s">
        <v>311</v>
      </c>
      <c r="C69" s="18" t="s">
        <v>160</v>
      </c>
      <c r="D69" s="4" t="s">
        <v>37</v>
      </c>
      <c r="E69" s="4" t="s">
        <v>442</v>
      </c>
      <c r="F69" s="4" t="s">
        <v>37</v>
      </c>
      <c r="G69" s="4" t="s">
        <v>161</v>
      </c>
      <c r="H69" s="4" t="s">
        <v>109</v>
      </c>
      <c r="I69" s="4" t="s">
        <v>443</v>
      </c>
      <c r="J69" s="4"/>
      <c r="K69" s="20" t="s">
        <v>73</v>
      </c>
      <c r="L69" s="2" t="s">
        <v>125</v>
      </c>
      <c r="M69" s="4"/>
      <c r="N69" s="4"/>
      <c r="O69" s="4"/>
      <c r="P69" s="4"/>
      <c r="Q69" s="4"/>
      <c r="R69" s="4"/>
      <c r="S69" s="4"/>
      <c r="T69" s="4"/>
      <c r="U69" s="4"/>
      <c r="V69" s="4"/>
      <c r="W69" s="4"/>
      <c r="X69" s="4"/>
      <c r="Y69" s="4"/>
      <c r="Z69" s="4"/>
      <c r="AA69" s="4"/>
      <c r="AB69" s="4"/>
      <c r="AC69" s="4"/>
      <c r="AD69" s="4"/>
    </row>
    <row r="70" spans="1:32" ht="81.95" customHeight="1">
      <c r="A70" s="60" t="s">
        <v>2290</v>
      </c>
      <c r="B70" s="44" t="s">
        <v>490</v>
      </c>
      <c r="C70" s="18" t="s">
        <v>160</v>
      </c>
      <c r="D70" s="4" t="s">
        <v>37</v>
      </c>
      <c r="E70" s="4" t="s">
        <v>37</v>
      </c>
      <c r="F70" s="4" t="s">
        <v>161</v>
      </c>
      <c r="G70" s="4" t="s">
        <v>1199</v>
      </c>
      <c r="H70" s="4" t="s">
        <v>161</v>
      </c>
      <c r="I70" s="4" t="s">
        <v>1186</v>
      </c>
      <c r="J70" s="4"/>
      <c r="K70" s="27" t="s">
        <v>73</v>
      </c>
      <c r="L70" s="2" t="s">
        <v>125</v>
      </c>
      <c r="M70" s="4"/>
      <c r="N70" s="4" t="s">
        <v>1318</v>
      </c>
      <c r="O70" s="4"/>
      <c r="P70" s="4"/>
      <c r="Q70" s="4"/>
      <c r="R70" s="4"/>
      <c r="S70" s="4"/>
      <c r="T70" s="4"/>
      <c r="U70" s="4"/>
      <c r="V70" s="4"/>
      <c r="W70" s="4"/>
      <c r="X70" s="4"/>
      <c r="Y70" s="4"/>
      <c r="Z70" s="4"/>
      <c r="AA70" s="4"/>
      <c r="AB70" s="4"/>
      <c r="AC70" s="4"/>
      <c r="AD70" s="4"/>
    </row>
    <row r="71" spans="1:32" ht="63">
      <c r="A71" s="60" t="s">
        <v>2291</v>
      </c>
      <c r="B71" s="35" t="s">
        <v>1419</v>
      </c>
      <c r="C71" s="12" t="s">
        <v>160</v>
      </c>
      <c r="D71" s="4" t="s">
        <v>813</v>
      </c>
      <c r="E71" s="4" t="s">
        <v>814</v>
      </c>
      <c r="F71" s="4" t="s">
        <v>37</v>
      </c>
      <c r="G71" s="4" t="s">
        <v>1266</v>
      </c>
      <c r="H71" s="4" t="s">
        <v>37</v>
      </c>
      <c r="I71" s="4" t="s">
        <v>1176</v>
      </c>
      <c r="J71" s="4"/>
      <c r="K71" s="4" t="s">
        <v>73</v>
      </c>
      <c r="L71" s="4" t="s">
        <v>385</v>
      </c>
      <c r="M71" s="4"/>
      <c r="N71" s="4"/>
      <c r="O71" s="4"/>
      <c r="P71" s="4"/>
      <c r="Q71" s="4"/>
      <c r="R71" s="4"/>
      <c r="S71" s="4"/>
      <c r="T71" s="4"/>
      <c r="U71" s="4"/>
      <c r="V71" s="4"/>
      <c r="W71" s="4"/>
      <c r="X71" s="4"/>
      <c r="Y71" s="4"/>
      <c r="Z71" s="4"/>
      <c r="AA71" s="4"/>
      <c r="AB71" s="4"/>
      <c r="AC71" s="4"/>
      <c r="AD71" s="4"/>
      <c r="AE71" s="4"/>
      <c r="AF71" s="4"/>
    </row>
    <row r="72" spans="1:32" ht="47.1" customHeight="1">
      <c r="A72" s="60" t="s">
        <v>2292</v>
      </c>
      <c r="B72" s="44" t="s">
        <v>1414</v>
      </c>
      <c r="C72" s="18" t="s">
        <v>2067</v>
      </c>
      <c r="D72" s="4" t="s">
        <v>37</v>
      </c>
      <c r="E72" s="4" t="s">
        <v>1210</v>
      </c>
      <c r="F72" s="4" t="s">
        <v>37</v>
      </c>
      <c r="G72" s="4" t="s">
        <v>37</v>
      </c>
      <c r="H72" s="4" t="s">
        <v>1206</v>
      </c>
      <c r="I72" s="4" t="s">
        <v>475</v>
      </c>
      <c r="J72" s="4"/>
      <c r="K72" s="20" t="s">
        <v>163</v>
      </c>
      <c r="L72" s="2" t="s">
        <v>125</v>
      </c>
      <c r="M72" s="4"/>
      <c r="N72" s="4" t="s">
        <v>2066</v>
      </c>
      <c r="O72" s="4"/>
      <c r="P72" s="4"/>
      <c r="Q72" s="4"/>
      <c r="R72" s="4"/>
      <c r="S72" s="4"/>
      <c r="T72" s="4"/>
      <c r="U72" s="4"/>
      <c r="V72" s="4"/>
      <c r="W72" s="4"/>
      <c r="X72" s="4"/>
      <c r="Y72" s="4"/>
      <c r="Z72" s="4"/>
      <c r="AA72" s="4"/>
      <c r="AB72" s="4"/>
      <c r="AC72" s="4"/>
      <c r="AD72" s="4"/>
    </row>
    <row r="73" spans="1:32" ht="110.25">
      <c r="A73" s="24" t="s">
        <v>2320</v>
      </c>
      <c r="B73" s="56" t="s">
        <v>291</v>
      </c>
      <c r="C73" s="4" t="s">
        <v>160</v>
      </c>
      <c r="D73" s="4" t="s">
        <v>1276</v>
      </c>
      <c r="E73" s="4" t="s">
        <v>783</v>
      </c>
      <c r="F73" s="4" t="s">
        <v>37</v>
      </c>
      <c r="G73" s="4" t="s">
        <v>784</v>
      </c>
      <c r="H73" s="4" t="s">
        <v>1310</v>
      </c>
      <c r="I73" s="4" t="s">
        <v>785</v>
      </c>
      <c r="J73" s="4"/>
      <c r="K73" s="20" t="s">
        <v>74</v>
      </c>
      <c r="L73" s="4" t="s">
        <v>385</v>
      </c>
      <c r="M73" s="4"/>
      <c r="N73" s="4" t="s">
        <v>1311</v>
      </c>
      <c r="O73" s="4"/>
      <c r="P73" s="4"/>
      <c r="Q73" s="4"/>
      <c r="R73" s="4"/>
      <c r="S73" s="4"/>
      <c r="T73" s="4"/>
      <c r="U73" s="4"/>
      <c r="V73" s="4"/>
      <c r="W73" s="4"/>
      <c r="X73" s="4"/>
      <c r="Y73" s="4"/>
      <c r="Z73" s="4"/>
      <c r="AA73" s="4"/>
      <c r="AB73" s="4"/>
      <c r="AC73" s="4"/>
      <c r="AD73" s="4"/>
      <c r="AE73" s="22"/>
      <c r="AF73" s="22"/>
    </row>
    <row r="74" spans="1:32" ht="31.5">
      <c r="A74" s="60" t="s">
        <v>2293</v>
      </c>
      <c r="B74" s="26" t="s">
        <v>597</v>
      </c>
      <c r="C74" s="16" t="s">
        <v>160</v>
      </c>
      <c r="D74" s="16" t="s">
        <v>37</v>
      </c>
      <c r="E74" s="16" t="s">
        <v>345</v>
      </c>
      <c r="F74" s="16" t="s">
        <v>37</v>
      </c>
      <c r="G74" s="16" t="s">
        <v>37</v>
      </c>
      <c r="H74" s="16" t="s">
        <v>37</v>
      </c>
      <c r="I74" s="4" t="s">
        <v>596</v>
      </c>
      <c r="J74" s="4"/>
      <c r="K74" s="6" t="s">
        <v>73</v>
      </c>
      <c r="L74" s="2" t="s">
        <v>125</v>
      </c>
      <c r="M74" s="4"/>
      <c r="N74" s="4"/>
      <c r="O74" s="4"/>
      <c r="P74" s="4"/>
      <c r="Q74" s="4"/>
      <c r="R74" s="4"/>
      <c r="S74" s="4"/>
      <c r="T74" s="4"/>
      <c r="U74" s="4"/>
      <c r="V74" s="4"/>
      <c r="W74" s="4"/>
      <c r="X74" s="4"/>
      <c r="Y74" s="4"/>
      <c r="Z74" s="4"/>
      <c r="AA74" s="4"/>
      <c r="AB74" s="4"/>
      <c r="AC74" s="4"/>
      <c r="AD74" s="4"/>
    </row>
    <row r="75" spans="1:32" s="22" customFormat="1" ht="47.25">
      <c r="A75" s="60" t="s">
        <v>2294</v>
      </c>
      <c r="B75" s="35" t="s">
        <v>1585</v>
      </c>
      <c r="C75" s="12" t="s">
        <v>160</v>
      </c>
      <c r="D75" s="4" t="s">
        <v>2239</v>
      </c>
      <c r="E75" s="4" t="s">
        <v>266</v>
      </c>
      <c r="F75" s="4" t="s">
        <v>37</v>
      </c>
      <c r="G75" s="4" t="s">
        <v>37</v>
      </c>
      <c r="H75" s="4" t="s">
        <v>37</v>
      </c>
      <c r="I75" s="4" t="s">
        <v>817</v>
      </c>
      <c r="J75" s="4"/>
      <c r="K75" s="4" t="s">
        <v>73</v>
      </c>
      <c r="L75" s="4" t="s">
        <v>385</v>
      </c>
      <c r="M75" s="4"/>
      <c r="N75" s="4"/>
      <c r="O75" s="4"/>
      <c r="P75" s="4"/>
      <c r="Q75" s="4"/>
      <c r="R75" s="4"/>
      <c r="S75" s="4"/>
      <c r="T75" s="4"/>
      <c r="U75" s="4"/>
      <c r="V75" s="4"/>
      <c r="W75" s="4"/>
      <c r="X75" s="4"/>
      <c r="Y75" s="4"/>
      <c r="Z75" s="4"/>
      <c r="AA75" s="4"/>
      <c r="AB75" s="4"/>
      <c r="AC75" s="4"/>
      <c r="AD75" s="4"/>
      <c r="AE75" s="4"/>
      <c r="AF75" s="4"/>
    </row>
    <row r="76" spans="1:32" s="22" customFormat="1" ht="63">
      <c r="A76" s="60" t="s">
        <v>2295</v>
      </c>
      <c r="B76" s="25" t="s">
        <v>299</v>
      </c>
      <c r="C76" s="4" t="s">
        <v>37</v>
      </c>
      <c r="D76" s="4" t="s">
        <v>37</v>
      </c>
      <c r="E76" s="4" t="s">
        <v>752</v>
      </c>
      <c r="F76" s="4" t="s">
        <v>109</v>
      </c>
      <c r="G76" s="4" t="s">
        <v>1623</v>
      </c>
      <c r="H76" s="4" t="s">
        <v>37</v>
      </c>
      <c r="I76" s="4" t="s">
        <v>753</v>
      </c>
      <c r="J76" s="4"/>
      <c r="K76" s="20" t="s">
        <v>73</v>
      </c>
      <c r="L76" s="2" t="s">
        <v>125</v>
      </c>
      <c r="M76" s="4"/>
      <c r="N76" s="4"/>
      <c r="O76" s="4"/>
      <c r="P76" s="4"/>
      <c r="Q76" s="4"/>
      <c r="R76" s="4"/>
      <c r="S76" s="4"/>
      <c r="T76" s="4"/>
      <c r="U76" s="4"/>
      <c r="V76" s="4"/>
      <c r="W76" s="4"/>
      <c r="X76" s="4"/>
      <c r="Y76" s="4"/>
      <c r="Z76" s="4"/>
      <c r="AA76" s="4"/>
      <c r="AB76" s="4"/>
      <c r="AC76" s="4"/>
      <c r="AD76" s="4"/>
      <c r="AE76" s="11"/>
      <c r="AF76" s="11"/>
    </row>
    <row r="77" spans="1:32" s="22" customFormat="1" ht="31.5">
      <c r="A77" s="60" t="s">
        <v>2296</v>
      </c>
      <c r="B77" s="34" t="s">
        <v>1435</v>
      </c>
      <c r="C77" s="12" t="s">
        <v>160</v>
      </c>
      <c r="D77" s="4" t="s">
        <v>37</v>
      </c>
      <c r="E77" s="4" t="s">
        <v>811</v>
      </c>
      <c r="F77" s="4" t="s">
        <v>37</v>
      </c>
      <c r="G77" s="4" t="s">
        <v>1222</v>
      </c>
      <c r="H77" s="4" t="s">
        <v>37</v>
      </c>
      <c r="I77" s="4" t="s">
        <v>820</v>
      </c>
      <c r="J77" s="4"/>
      <c r="K77" s="4" t="s">
        <v>73</v>
      </c>
      <c r="L77" s="4" t="s">
        <v>385</v>
      </c>
      <c r="M77" s="4"/>
      <c r="N77" s="4"/>
      <c r="O77" s="4"/>
      <c r="P77" s="4"/>
      <c r="Q77" s="4"/>
      <c r="R77" s="4"/>
      <c r="S77" s="4"/>
      <c r="T77" s="4"/>
      <c r="U77" s="4"/>
      <c r="V77" s="4"/>
      <c r="W77" s="4"/>
      <c r="X77" s="4"/>
      <c r="Y77" s="4"/>
      <c r="Z77" s="4"/>
      <c r="AA77" s="4"/>
      <c r="AB77" s="4"/>
      <c r="AC77" s="4"/>
      <c r="AD77" s="4"/>
      <c r="AE77" s="4"/>
      <c r="AF77" s="4"/>
    </row>
    <row r="78" spans="1:32" ht="78.75">
      <c r="A78" s="24" t="s">
        <v>2319</v>
      </c>
      <c r="B78" s="52" t="s">
        <v>301</v>
      </c>
      <c r="C78" s="4" t="s">
        <v>37</v>
      </c>
      <c r="D78" s="4" t="s">
        <v>37</v>
      </c>
      <c r="E78" s="4" t="s">
        <v>37</v>
      </c>
      <c r="F78" s="4" t="s">
        <v>37</v>
      </c>
      <c r="G78" s="4" t="s">
        <v>1196</v>
      </c>
      <c r="H78" s="4" t="s">
        <v>37</v>
      </c>
      <c r="I78" s="4" t="s">
        <v>657</v>
      </c>
      <c r="J78" s="4"/>
      <c r="K78" s="20" t="s">
        <v>74</v>
      </c>
      <c r="L78" s="2" t="s">
        <v>125</v>
      </c>
      <c r="M78" s="4"/>
      <c r="N78" s="4" t="s">
        <v>1315</v>
      </c>
      <c r="O78" s="4"/>
      <c r="P78" s="4"/>
      <c r="Q78" s="4"/>
      <c r="R78" s="4"/>
      <c r="S78" s="4"/>
      <c r="T78" s="4"/>
      <c r="U78" s="4"/>
      <c r="V78" s="4"/>
      <c r="W78" s="4"/>
      <c r="X78" s="4"/>
      <c r="Y78" s="4"/>
      <c r="Z78" s="4"/>
      <c r="AA78" s="4"/>
      <c r="AB78" s="4"/>
      <c r="AC78" s="4"/>
      <c r="AD78" s="4"/>
    </row>
    <row r="79" spans="1:32" s="22" customFormat="1" ht="94.5">
      <c r="A79" s="60" t="s">
        <v>2297</v>
      </c>
      <c r="B79" s="26" t="s">
        <v>286</v>
      </c>
      <c r="C79" s="11" t="s">
        <v>160</v>
      </c>
      <c r="D79" s="4" t="s">
        <v>37</v>
      </c>
      <c r="E79" s="4" t="s">
        <v>776</v>
      </c>
      <c r="F79" s="4" t="s">
        <v>109</v>
      </c>
      <c r="G79" s="11" t="s">
        <v>161</v>
      </c>
      <c r="H79" s="11" t="s">
        <v>161</v>
      </c>
      <c r="I79" s="4" t="s">
        <v>1219</v>
      </c>
      <c r="J79" s="4"/>
      <c r="K79" s="20" t="s">
        <v>73</v>
      </c>
      <c r="L79" s="19" t="s">
        <v>125</v>
      </c>
      <c r="M79" s="11"/>
      <c r="N79" s="11"/>
      <c r="O79" s="11"/>
      <c r="P79" s="11"/>
      <c r="Q79" s="11"/>
      <c r="R79" s="11"/>
      <c r="S79" s="11"/>
      <c r="T79" s="11"/>
      <c r="U79" s="11"/>
      <c r="V79" s="11"/>
      <c r="W79" s="11"/>
      <c r="X79" s="11"/>
      <c r="Y79" s="11"/>
      <c r="Z79" s="11"/>
      <c r="AA79" s="11"/>
      <c r="AB79" s="11"/>
      <c r="AC79" s="11"/>
      <c r="AD79" s="11"/>
      <c r="AE79" s="11"/>
      <c r="AF79" s="11"/>
    </row>
    <row r="80" spans="1:32" s="22" customFormat="1" ht="63">
      <c r="A80" s="60" t="s">
        <v>2298</v>
      </c>
      <c r="B80" s="25" t="s">
        <v>1589</v>
      </c>
      <c r="C80" s="11" t="s">
        <v>37</v>
      </c>
      <c r="D80" s="11" t="s">
        <v>37</v>
      </c>
      <c r="E80" s="11" t="s">
        <v>37</v>
      </c>
      <c r="F80" s="11" t="s">
        <v>544</v>
      </c>
      <c r="G80" s="11" t="s">
        <v>37</v>
      </c>
      <c r="H80" s="11" t="s">
        <v>37</v>
      </c>
      <c r="I80" s="11" t="s">
        <v>545</v>
      </c>
      <c r="J80" s="11"/>
      <c r="K80" s="10" t="s">
        <v>164</v>
      </c>
      <c r="L80" s="19" t="s">
        <v>125</v>
      </c>
      <c r="M80" s="11"/>
      <c r="N80" s="11"/>
      <c r="O80" s="11"/>
      <c r="P80" s="11"/>
      <c r="Q80" s="11"/>
      <c r="R80" s="11"/>
      <c r="S80" s="11"/>
      <c r="T80" s="11"/>
      <c r="U80" s="11"/>
      <c r="V80" s="11"/>
      <c r="W80" s="11"/>
      <c r="X80" s="11"/>
      <c r="Y80" s="11"/>
      <c r="Z80" s="11"/>
      <c r="AA80" s="11"/>
      <c r="AB80" s="11"/>
      <c r="AC80" s="11"/>
      <c r="AD80" s="11"/>
      <c r="AE80" s="11"/>
      <c r="AF80" s="11"/>
    </row>
    <row r="81" spans="1:32" s="22" customFormat="1" ht="31.5">
      <c r="A81" s="60" t="s">
        <v>2299</v>
      </c>
      <c r="B81" s="26" t="s">
        <v>583</v>
      </c>
      <c r="C81" s="4" t="s">
        <v>499</v>
      </c>
      <c r="D81" s="4" t="s">
        <v>595</v>
      </c>
      <c r="E81" s="4" t="s">
        <v>580</v>
      </c>
      <c r="F81" s="4" t="s">
        <v>109</v>
      </c>
      <c r="G81" s="4" t="s">
        <v>581</v>
      </c>
      <c r="H81" s="4" t="s">
        <v>161</v>
      </c>
      <c r="I81" s="4" t="s">
        <v>582</v>
      </c>
      <c r="J81" s="4"/>
      <c r="K81" s="20" t="s">
        <v>73</v>
      </c>
      <c r="L81" s="2" t="s">
        <v>125</v>
      </c>
      <c r="M81" s="4"/>
      <c r="N81" s="4"/>
      <c r="O81" s="4"/>
      <c r="P81" s="4"/>
      <c r="Q81" s="4"/>
      <c r="R81" s="4"/>
      <c r="S81" s="4"/>
      <c r="T81" s="4"/>
      <c r="U81" s="4"/>
      <c r="V81" s="4"/>
      <c r="W81" s="4"/>
      <c r="X81" s="4"/>
      <c r="Y81" s="4"/>
      <c r="Z81" s="4"/>
      <c r="AA81" s="4"/>
      <c r="AB81" s="4"/>
      <c r="AC81" s="4"/>
      <c r="AD81" s="4"/>
      <c r="AE81" s="11"/>
      <c r="AF81" s="11"/>
    </row>
    <row r="82" spans="1:32" s="22" customFormat="1" ht="47.25">
      <c r="A82" s="60" t="s">
        <v>2262</v>
      </c>
      <c r="B82" s="26" t="s">
        <v>1450</v>
      </c>
      <c r="C82" s="18" t="s">
        <v>160</v>
      </c>
      <c r="D82" s="4" t="s">
        <v>37</v>
      </c>
      <c r="E82" s="2" t="s">
        <v>224</v>
      </c>
      <c r="F82" s="2" t="s">
        <v>37</v>
      </c>
      <c r="G82" s="2" t="s">
        <v>37</v>
      </c>
      <c r="H82" s="2" t="s">
        <v>109</v>
      </c>
      <c r="I82" s="4" t="s">
        <v>403</v>
      </c>
      <c r="J82" s="4"/>
      <c r="K82" s="20" t="s">
        <v>73</v>
      </c>
      <c r="L82" s="2" t="s">
        <v>125</v>
      </c>
      <c r="M82" s="4"/>
      <c r="N82" s="4"/>
      <c r="O82" s="4"/>
      <c r="P82" s="4"/>
      <c r="Q82" s="4"/>
      <c r="R82" s="4"/>
      <c r="S82" s="4"/>
      <c r="T82" s="4"/>
      <c r="U82" s="4"/>
      <c r="V82" s="4"/>
      <c r="W82" s="4"/>
      <c r="X82" s="4"/>
      <c r="Y82" s="4"/>
      <c r="Z82" s="4"/>
      <c r="AA82" s="4"/>
      <c r="AB82" s="4"/>
      <c r="AC82" s="4"/>
      <c r="AD82" s="4"/>
      <c r="AE82" s="11"/>
      <c r="AF82" s="11"/>
    </row>
    <row r="83" spans="1:32" s="22" customFormat="1">
      <c r="A83" s="60" t="s">
        <v>2300</v>
      </c>
      <c r="B83" s="35" t="s">
        <v>1584</v>
      </c>
      <c r="C83" s="12" t="s">
        <v>160</v>
      </c>
      <c r="D83" s="4" t="s">
        <v>37</v>
      </c>
      <c r="E83" s="4" t="s">
        <v>266</v>
      </c>
      <c r="F83" s="4" t="s">
        <v>37</v>
      </c>
      <c r="G83" s="4" t="s">
        <v>37</v>
      </c>
      <c r="H83" s="4" t="s">
        <v>37</v>
      </c>
      <c r="I83" s="4" t="s">
        <v>816</v>
      </c>
      <c r="J83" s="4"/>
      <c r="K83" s="16" t="s">
        <v>73</v>
      </c>
      <c r="L83" s="4" t="s">
        <v>385</v>
      </c>
      <c r="M83" s="4"/>
      <c r="N83" s="4"/>
      <c r="O83" s="4"/>
      <c r="P83" s="4"/>
      <c r="Q83" s="4"/>
      <c r="R83" s="4"/>
      <c r="S83" s="4"/>
      <c r="T83" s="4"/>
      <c r="U83" s="4"/>
      <c r="V83" s="4"/>
      <c r="W83" s="4"/>
      <c r="X83" s="4"/>
      <c r="Y83" s="4"/>
      <c r="Z83" s="4"/>
      <c r="AA83" s="4"/>
      <c r="AB83" s="4"/>
      <c r="AC83" s="4"/>
      <c r="AD83" s="4"/>
      <c r="AE83" s="4"/>
      <c r="AF83" s="4"/>
    </row>
    <row r="84" spans="1:32" s="22" customFormat="1" ht="31.5">
      <c r="A84" s="60" t="s">
        <v>2301</v>
      </c>
      <c r="B84" s="47" t="s">
        <v>1591</v>
      </c>
      <c r="C84" s="4" t="s">
        <v>780</v>
      </c>
      <c r="D84" s="4" t="s">
        <v>37</v>
      </c>
      <c r="E84" s="4" t="s">
        <v>786</v>
      </c>
      <c r="F84" s="4" t="s">
        <v>37</v>
      </c>
      <c r="G84" s="4" t="s">
        <v>37</v>
      </c>
      <c r="H84" s="4" t="s">
        <v>37</v>
      </c>
      <c r="I84" s="4" t="s">
        <v>787</v>
      </c>
      <c r="J84" s="4"/>
      <c r="K84" s="20" t="s">
        <v>164</v>
      </c>
      <c r="L84" s="4" t="s">
        <v>385</v>
      </c>
      <c r="M84" s="4"/>
      <c r="N84" s="4"/>
      <c r="O84" s="4"/>
      <c r="P84" s="4"/>
      <c r="Q84" s="4"/>
      <c r="R84" s="4"/>
      <c r="S84" s="4"/>
      <c r="T84" s="4"/>
      <c r="U84" s="4"/>
      <c r="V84" s="4"/>
      <c r="W84" s="4"/>
      <c r="X84" s="4"/>
      <c r="Y84" s="4"/>
      <c r="Z84" s="4"/>
      <c r="AA84" s="4"/>
      <c r="AB84" s="4"/>
      <c r="AC84" s="4"/>
      <c r="AD84" s="4"/>
    </row>
    <row r="85" spans="1:32" s="4" customFormat="1">
      <c r="A85" s="60" t="s">
        <v>2302</v>
      </c>
      <c r="B85" s="36" t="s">
        <v>358</v>
      </c>
      <c r="C85" s="11" t="s">
        <v>160</v>
      </c>
      <c r="D85" s="11" t="s">
        <v>37</v>
      </c>
      <c r="E85" s="11" t="s">
        <v>37</v>
      </c>
      <c r="F85" s="11" t="s">
        <v>37</v>
      </c>
      <c r="G85" s="11" t="s">
        <v>37</v>
      </c>
      <c r="H85" s="11" t="s">
        <v>37</v>
      </c>
      <c r="I85" s="11" t="s">
        <v>346</v>
      </c>
      <c r="J85" s="11"/>
      <c r="K85" s="10" t="s">
        <v>73</v>
      </c>
      <c r="L85" s="19" t="s">
        <v>125</v>
      </c>
      <c r="M85" s="11"/>
      <c r="N85" s="11"/>
      <c r="O85" s="11"/>
      <c r="P85" s="11"/>
      <c r="Q85" s="11"/>
      <c r="R85" s="11"/>
      <c r="S85" s="11"/>
      <c r="T85" s="11"/>
      <c r="U85" s="11"/>
      <c r="V85" s="11"/>
      <c r="W85" s="11"/>
      <c r="X85" s="11"/>
      <c r="Y85" s="11"/>
      <c r="Z85" s="11"/>
      <c r="AA85" s="11"/>
      <c r="AB85" s="11"/>
      <c r="AC85" s="11"/>
      <c r="AD85" s="11"/>
      <c r="AE85" s="11"/>
      <c r="AF85" s="11"/>
    </row>
    <row r="86" spans="1:32" s="4" customFormat="1" ht="31.5">
      <c r="A86" s="60" t="s">
        <v>2303</v>
      </c>
      <c r="B86" s="36" t="s">
        <v>1404</v>
      </c>
      <c r="C86" s="11" t="s">
        <v>160</v>
      </c>
      <c r="D86" s="11" t="s">
        <v>37</v>
      </c>
      <c r="E86" s="11" t="s">
        <v>37</v>
      </c>
      <c r="F86" s="11" t="s">
        <v>37</v>
      </c>
      <c r="G86" s="11" t="s">
        <v>37</v>
      </c>
      <c r="H86" s="11" t="s">
        <v>37</v>
      </c>
      <c r="I86" s="11" t="s">
        <v>278</v>
      </c>
      <c r="J86" s="11"/>
      <c r="K86" s="10" t="s">
        <v>73</v>
      </c>
      <c r="L86" s="19" t="s">
        <v>125</v>
      </c>
      <c r="M86" s="11"/>
      <c r="N86" s="11"/>
      <c r="O86" s="11"/>
      <c r="P86" s="11"/>
      <c r="Q86" s="11"/>
      <c r="R86" s="11"/>
      <c r="S86" s="11"/>
      <c r="T86" s="11"/>
      <c r="U86" s="11"/>
      <c r="V86" s="11"/>
      <c r="W86" s="11"/>
      <c r="X86" s="11"/>
      <c r="Y86" s="11"/>
      <c r="Z86" s="11"/>
      <c r="AA86" s="11"/>
      <c r="AB86" s="11"/>
      <c r="AC86" s="11"/>
      <c r="AD86" s="11"/>
      <c r="AE86" s="11"/>
      <c r="AF86" s="11"/>
    </row>
    <row r="87" spans="1:32" s="4" customFormat="1" ht="31.5">
      <c r="A87" s="60" t="s">
        <v>2303</v>
      </c>
      <c r="B87" s="36" t="s">
        <v>1405</v>
      </c>
      <c r="C87" s="11" t="s">
        <v>160</v>
      </c>
      <c r="D87" s="11" t="s">
        <v>37</v>
      </c>
      <c r="E87" s="11" t="s">
        <v>37</v>
      </c>
      <c r="F87" s="11" t="s">
        <v>37</v>
      </c>
      <c r="G87" s="11" t="s">
        <v>37</v>
      </c>
      <c r="H87" s="11" t="s">
        <v>37</v>
      </c>
      <c r="I87" s="11" t="s">
        <v>278</v>
      </c>
      <c r="J87" s="11"/>
      <c r="K87" s="10" t="s">
        <v>73</v>
      </c>
      <c r="L87" s="19" t="s">
        <v>125</v>
      </c>
      <c r="M87" s="11"/>
      <c r="N87" s="11"/>
      <c r="O87" s="11"/>
      <c r="P87" s="11"/>
      <c r="Q87" s="11"/>
      <c r="R87" s="11"/>
      <c r="S87" s="11"/>
      <c r="T87" s="11"/>
      <c r="U87" s="11"/>
      <c r="V87" s="11"/>
      <c r="W87" s="11"/>
      <c r="X87" s="11"/>
      <c r="Y87" s="11"/>
      <c r="Z87" s="11"/>
      <c r="AA87" s="11"/>
      <c r="AB87" s="11"/>
      <c r="AC87" s="11"/>
      <c r="AD87" s="11"/>
      <c r="AE87" s="11"/>
      <c r="AF87" s="11"/>
    </row>
    <row r="88" spans="1:32" s="4" customFormat="1">
      <c r="A88" s="60" t="s">
        <v>2304</v>
      </c>
      <c r="B88" s="34" t="s">
        <v>1956</v>
      </c>
      <c r="C88" s="4" t="s">
        <v>780</v>
      </c>
      <c r="D88" s="4" t="s">
        <v>37</v>
      </c>
      <c r="E88" s="4" t="s">
        <v>37</v>
      </c>
      <c r="F88" s="4" t="s">
        <v>37</v>
      </c>
      <c r="G88" s="4" t="s">
        <v>37</v>
      </c>
      <c r="H88" s="4" t="s">
        <v>37</v>
      </c>
      <c r="I88" s="4" t="s">
        <v>1986</v>
      </c>
      <c r="K88" s="20" t="s">
        <v>164</v>
      </c>
      <c r="L88" s="4" t="s">
        <v>385</v>
      </c>
      <c r="AE88" s="22"/>
      <c r="AF88" s="22"/>
    </row>
    <row r="89" spans="1:32" s="22" customFormat="1" ht="31.5">
      <c r="A89" s="60" t="s">
        <v>2305</v>
      </c>
      <c r="B89" s="35" t="s">
        <v>1416</v>
      </c>
      <c r="C89" s="12" t="s">
        <v>780</v>
      </c>
      <c r="D89" s="4" t="s">
        <v>37</v>
      </c>
      <c r="E89" s="4" t="s">
        <v>266</v>
      </c>
      <c r="F89" s="4" t="s">
        <v>37</v>
      </c>
      <c r="G89" s="4" t="s">
        <v>1222</v>
      </c>
      <c r="H89" s="4" t="s">
        <v>37</v>
      </c>
      <c r="I89" s="4" t="s">
        <v>810</v>
      </c>
      <c r="J89" s="4"/>
      <c r="K89" s="4" t="s">
        <v>164</v>
      </c>
      <c r="L89" s="4" t="s">
        <v>385</v>
      </c>
      <c r="M89" s="4"/>
      <c r="N89" s="4"/>
      <c r="O89" s="4"/>
      <c r="P89" s="4"/>
      <c r="Q89" s="4"/>
      <c r="R89" s="4"/>
      <c r="S89" s="4"/>
      <c r="T89" s="4"/>
      <c r="U89" s="4"/>
      <c r="V89" s="4"/>
      <c r="W89" s="4"/>
      <c r="X89" s="4"/>
      <c r="Y89" s="4"/>
      <c r="Z89" s="4"/>
      <c r="AA89" s="4"/>
      <c r="AB89" s="4"/>
      <c r="AC89" s="4"/>
      <c r="AD89" s="4"/>
      <c r="AE89" s="4"/>
      <c r="AF89" s="4"/>
    </row>
    <row r="90" spans="1:32" s="22" customFormat="1" ht="31.5">
      <c r="A90" s="60" t="s">
        <v>2306</v>
      </c>
      <c r="B90" s="34" t="s">
        <v>1436</v>
      </c>
      <c r="C90" s="24" t="s">
        <v>160</v>
      </c>
      <c r="D90" s="11" t="s">
        <v>1319</v>
      </c>
      <c r="E90" s="11" t="s">
        <v>218</v>
      </c>
      <c r="F90" s="11" t="s">
        <v>37</v>
      </c>
      <c r="G90" s="11" t="s">
        <v>37</v>
      </c>
      <c r="H90" s="11" t="s">
        <v>37</v>
      </c>
      <c r="I90" s="11"/>
      <c r="J90" s="11"/>
      <c r="K90" s="11" t="s">
        <v>73</v>
      </c>
      <c r="L90" s="11"/>
      <c r="M90" s="11"/>
      <c r="N90" s="11"/>
      <c r="O90" s="11"/>
      <c r="P90" s="11"/>
      <c r="Q90" s="11"/>
      <c r="R90" s="11"/>
      <c r="S90" s="11"/>
      <c r="T90" s="11"/>
      <c r="U90" s="11"/>
      <c r="V90" s="11"/>
      <c r="W90" s="11"/>
      <c r="X90" s="11"/>
      <c r="Y90" s="11"/>
      <c r="Z90" s="11"/>
      <c r="AA90" s="11"/>
      <c r="AB90" s="11"/>
      <c r="AC90" s="11"/>
      <c r="AD90" s="11"/>
      <c r="AE90" s="11"/>
      <c r="AF90" s="11"/>
    </row>
    <row r="91" spans="1:32" s="22" customFormat="1" ht="47.25">
      <c r="A91" s="60" t="s">
        <v>2307</v>
      </c>
      <c r="B91" s="34" t="s">
        <v>1434</v>
      </c>
      <c r="C91" s="12" t="s">
        <v>780</v>
      </c>
      <c r="D91" s="4" t="s">
        <v>37</v>
      </c>
      <c r="E91" s="4" t="s">
        <v>266</v>
      </c>
      <c r="F91" s="4" t="s">
        <v>37</v>
      </c>
      <c r="G91" s="4" t="s">
        <v>37</v>
      </c>
      <c r="H91" s="4" t="s">
        <v>37</v>
      </c>
      <c r="I91" s="4" t="s">
        <v>827</v>
      </c>
      <c r="J91" s="4"/>
      <c r="K91" s="4" t="s">
        <v>164</v>
      </c>
      <c r="L91" s="4" t="s">
        <v>385</v>
      </c>
      <c r="M91" s="4"/>
      <c r="N91" s="4"/>
      <c r="O91" s="4"/>
      <c r="P91" s="4"/>
      <c r="Q91" s="4"/>
      <c r="R91" s="4"/>
      <c r="S91" s="4"/>
      <c r="T91" s="4"/>
      <c r="U91" s="4"/>
      <c r="V91" s="4"/>
      <c r="W91" s="4"/>
      <c r="X91" s="4"/>
      <c r="Y91" s="4"/>
      <c r="Z91" s="4"/>
      <c r="AA91" s="4"/>
      <c r="AB91" s="4"/>
      <c r="AC91" s="4"/>
      <c r="AD91" s="4"/>
      <c r="AE91" s="4"/>
      <c r="AF91" s="4"/>
    </row>
    <row r="92" spans="1:32" s="22" customFormat="1" ht="63">
      <c r="A92" s="60" t="s">
        <v>2308</v>
      </c>
      <c r="B92" s="25" t="s">
        <v>300</v>
      </c>
      <c r="C92" s="4" t="s">
        <v>160</v>
      </c>
      <c r="D92" s="4" t="s">
        <v>754</v>
      </c>
      <c r="E92" s="4" t="s">
        <v>755</v>
      </c>
      <c r="F92" s="4" t="s">
        <v>37</v>
      </c>
      <c r="G92" s="4" t="s">
        <v>109</v>
      </c>
      <c r="H92" s="4" t="s">
        <v>37</v>
      </c>
      <c r="I92" s="4" t="s">
        <v>756</v>
      </c>
      <c r="J92" s="4"/>
      <c r="K92" s="20" t="s">
        <v>73</v>
      </c>
      <c r="L92" s="2" t="s">
        <v>125</v>
      </c>
      <c r="M92" s="4"/>
      <c r="N92" s="4"/>
      <c r="O92" s="4"/>
      <c r="P92" s="4"/>
      <c r="Q92" s="4"/>
      <c r="R92" s="4"/>
      <c r="S92" s="4"/>
      <c r="T92" s="4"/>
      <c r="U92" s="4"/>
      <c r="V92" s="4"/>
      <c r="W92" s="4"/>
      <c r="X92" s="4"/>
      <c r="Y92" s="4"/>
      <c r="Z92" s="4"/>
      <c r="AA92" s="4"/>
      <c r="AB92" s="4"/>
      <c r="AC92" s="4"/>
      <c r="AD92" s="4"/>
      <c r="AE92" s="11"/>
      <c r="AF92" s="11"/>
    </row>
    <row r="93" spans="1:32" s="22" customFormat="1">
      <c r="A93" s="60" t="s">
        <v>2309</v>
      </c>
      <c r="B93" s="48" t="s">
        <v>196</v>
      </c>
      <c r="C93" s="15" t="s">
        <v>160</v>
      </c>
      <c r="D93" s="15" t="s">
        <v>37</v>
      </c>
      <c r="E93" s="15" t="s">
        <v>37</v>
      </c>
      <c r="F93" s="15" t="s">
        <v>37</v>
      </c>
      <c r="G93" s="15" t="s">
        <v>37</v>
      </c>
      <c r="H93" s="15" t="s">
        <v>37</v>
      </c>
      <c r="I93" s="11" t="s">
        <v>279</v>
      </c>
      <c r="J93" s="11"/>
      <c r="K93" s="10" t="s">
        <v>73</v>
      </c>
      <c r="L93" s="19" t="s">
        <v>125</v>
      </c>
      <c r="M93" s="1"/>
      <c r="N93" s="1"/>
      <c r="O93" s="1"/>
      <c r="P93" s="1"/>
      <c r="Q93" s="1"/>
      <c r="R93" s="1"/>
      <c r="S93" s="1"/>
      <c r="T93" s="1"/>
      <c r="U93" s="1"/>
      <c r="V93" s="1"/>
      <c r="W93" s="1"/>
      <c r="X93" s="1"/>
      <c r="Y93" s="1"/>
      <c r="Z93" s="1"/>
      <c r="AA93" s="1"/>
      <c r="AB93" s="1"/>
      <c r="AC93" s="1"/>
      <c r="AD93" s="1"/>
      <c r="AE93" s="1"/>
      <c r="AF93" s="1"/>
    </row>
    <row r="94" spans="1:32" s="22" customFormat="1" ht="110.25">
      <c r="A94" s="60" t="s">
        <v>2318</v>
      </c>
      <c r="B94" s="57" t="s">
        <v>308</v>
      </c>
      <c r="C94" s="18" t="s">
        <v>160</v>
      </c>
      <c r="D94" s="4" t="s">
        <v>37</v>
      </c>
      <c r="E94" s="4" t="s">
        <v>1152</v>
      </c>
      <c r="F94" s="4" t="s">
        <v>37</v>
      </c>
      <c r="G94" s="4" t="s">
        <v>37</v>
      </c>
      <c r="H94" s="4" t="s">
        <v>1207</v>
      </c>
      <c r="I94" s="4" t="s">
        <v>1173</v>
      </c>
      <c r="J94" s="4"/>
      <c r="K94" s="20" t="s">
        <v>1200</v>
      </c>
      <c r="L94" s="2" t="s">
        <v>125</v>
      </c>
      <c r="M94" s="4"/>
      <c r="N94" s="4"/>
      <c r="O94" s="4"/>
      <c r="P94" s="4"/>
      <c r="Q94" s="4"/>
      <c r="R94" s="4"/>
      <c r="S94" s="4"/>
      <c r="T94" s="4"/>
      <c r="U94" s="4"/>
      <c r="V94" s="4"/>
      <c r="W94" s="4"/>
      <c r="X94" s="4"/>
      <c r="Y94" s="4"/>
      <c r="Z94" s="4"/>
      <c r="AA94" s="4"/>
      <c r="AB94" s="4"/>
      <c r="AC94" s="4"/>
      <c r="AD94" s="4"/>
      <c r="AE94" s="11"/>
      <c r="AF94" s="11"/>
    </row>
    <row r="95" spans="1:32" s="22" customFormat="1">
      <c r="A95" s="60" t="s">
        <v>2310</v>
      </c>
      <c r="B95" s="39" t="s">
        <v>1454</v>
      </c>
      <c r="C95" s="4" t="s">
        <v>160</v>
      </c>
      <c r="D95" s="4" t="s">
        <v>37</v>
      </c>
      <c r="E95" s="4" t="s">
        <v>1209</v>
      </c>
      <c r="F95" s="4" t="s">
        <v>37</v>
      </c>
      <c r="G95" s="4" t="s">
        <v>750</v>
      </c>
      <c r="H95" s="4" t="s">
        <v>37</v>
      </c>
      <c r="I95" s="4" t="s">
        <v>751</v>
      </c>
      <c r="J95" s="4"/>
      <c r="K95" s="20" t="s">
        <v>1175</v>
      </c>
      <c r="L95" s="2" t="s">
        <v>125</v>
      </c>
      <c r="M95" s="4"/>
      <c r="N95" s="4"/>
      <c r="O95" s="4"/>
      <c r="P95" s="4"/>
      <c r="Q95" s="4"/>
      <c r="R95" s="4"/>
      <c r="S95" s="4"/>
      <c r="T95" s="4"/>
      <c r="U95" s="4"/>
      <c r="V95" s="4"/>
      <c r="W95" s="4"/>
      <c r="X95" s="4"/>
      <c r="Y95" s="4"/>
      <c r="Z95" s="4"/>
      <c r="AA95" s="4"/>
      <c r="AB95" s="4"/>
      <c r="AC95" s="4"/>
      <c r="AD95" s="4"/>
      <c r="AE95" s="11"/>
      <c r="AF95" s="11"/>
    </row>
    <row r="96" spans="1:32" s="22" customFormat="1" ht="78.75">
      <c r="A96" s="60" t="s">
        <v>2310</v>
      </c>
      <c r="B96" s="49" t="s">
        <v>1380</v>
      </c>
      <c r="C96" s="4" t="s">
        <v>160</v>
      </c>
      <c r="D96" s="4" t="s">
        <v>37</v>
      </c>
      <c r="E96" s="4" t="s">
        <v>1205</v>
      </c>
      <c r="F96" s="11" t="s">
        <v>37</v>
      </c>
      <c r="G96" s="4" t="s">
        <v>1194</v>
      </c>
      <c r="H96" s="4" t="s">
        <v>37</v>
      </c>
      <c r="I96" s="4" t="s">
        <v>745</v>
      </c>
      <c r="J96" s="4"/>
      <c r="K96" s="20" t="s">
        <v>74</v>
      </c>
      <c r="L96" s="2" t="s">
        <v>125</v>
      </c>
      <c r="M96" s="4"/>
      <c r="N96" s="4"/>
      <c r="O96" s="4"/>
      <c r="P96" s="4"/>
      <c r="Q96" s="4"/>
      <c r="R96" s="4"/>
      <c r="S96" s="4"/>
      <c r="T96" s="4"/>
      <c r="U96" s="4"/>
      <c r="V96" s="4"/>
      <c r="W96" s="4"/>
      <c r="X96" s="4"/>
      <c r="Y96" s="4"/>
      <c r="Z96" s="4"/>
      <c r="AA96" s="4"/>
      <c r="AB96" s="4"/>
      <c r="AC96" s="4"/>
      <c r="AD96" s="4"/>
      <c r="AE96" s="11"/>
      <c r="AF96" s="11"/>
    </row>
    <row r="97" spans="1:32" s="22" customFormat="1" ht="78.75">
      <c r="A97" s="60" t="s">
        <v>2317</v>
      </c>
      <c r="B97" s="58" t="s">
        <v>213</v>
      </c>
      <c r="C97" s="11" t="s">
        <v>160</v>
      </c>
      <c r="D97" s="11" t="s">
        <v>37</v>
      </c>
      <c r="E97" s="11" t="s">
        <v>37</v>
      </c>
      <c r="F97" s="11" t="s">
        <v>37</v>
      </c>
      <c r="G97" s="4" t="s">
        <v>1188</v>
      </c>
      <c r="H97" s="4" t="s">
        <v>1190</v>
      </c>
      <c r="I97" s="11" t="s">
        <v>277</v>
      </c>
      <c r="J97" s="11"/>
      <c r="K97" s="20" t="s">
        <v>74</v>
      </c>
      <c r="L97" s="19" t="s">
        <v>125</v>
      </c>
      <c r="M97" s="11"/>
      <c r="N97" s="11" t="s">
        <v>1315</v>
      </c>
      <c r="O97" s="11"/>
      <c r="P97" s="11"/>
      <c r="Q97" s="11"/>
      <c r="R97" s="11"/>
      <c r="S97" s="11"/>
      <c r="T97" s="11"/>
      <c r="U97" s="11"/>
      <c r="V97" s="11"/>
      <c r="W97" s="11"/>
      <c r="X97" s="11"/>
      <c r="Y97" s="11"/>
      <c r="Z97" s="11"/>
      <c r="AA97" s="11"/>
      <c r="AB97" s="11"/>
      <c r="AC97" s="11"/>
      <c r="AD97" s="11"/>
      <c r="AE97" s="11"/>
      <c r="AF97" s="11"/>
    </row>
    <row r="98" spans="1:32" s="22" customFormat="1" ht="31.5">
      <c r="A98" s="60" t="s">
        <v>2311</v>
      </c>
      <c r="B98" s="42" t="s">
        <v>1400</v>
      </c>
      <c r="C98" s="4" t="s">
        <v>499</v>
      </c>
      <c r="D98" s="4" t="s">
        <v>37</v>
      </c>
      <c r="E98" s="4" t="s">
        <v>37</v>
      </c>
      <c r="F98" s="4" t="s">
        <v>37</v>
      </c>
      <c r="G98" s="4" t="s">
        <v>1626</v>
      </c>
      <c r="H98" s="4" t="s">
        <v>37</v>
      </c>
      <c r="I98" s="4" t="s">
        <v>616</v>
      </c>
      <c r="J98" s="4"/>
      <c r="K98" s="20" t="s">
        <v>73</v>
      </c>
      <c r="L98" s="2" t="s">
        <v>125</v>
      </c>
      <c r="M98" s="4"/>
      <c r="N98" s="4" t="s">
        <v>1312</v>
      </c>
      <c r="O98" s="4"/>
      <c r="P98" s="4"/>
      <c r="Q98" s="4"/>
      <c r="R98" s="4"/>
      <c r="S98" s="4"/>
      <c r="T98" s="4"/>
      <c r="U98" s="4"/>
      <c r="V98" s="4"/>
      <c r="W98" s="4"/>
      <c r="X98" s="4"/>
      <c r="Y98" s="4"/>
      <c r="Z98" s="4"/>
      <c r="AA98" s="4"/>
      <c r="AB98" s="4"/>
      <c r="AC98" s="4"/>
      <c r="AD98" s="4"/>
      <c r="AE98" s="11"/>
      <c r="AF98" s="11"/>
    </row>
    <row r="99" spans="1:32" s="22" customFormat="1" ht="31.5">
      <c r="A99" s="60" t="s">
        <v>2311</v>
      </c>
      <c r="B99" s="42" t="s">
        <v>1401</v>
      </c>
      <c r="C99" s="4" t="s">
        <v>499</v>
      </c>
      <c r="D99" s="4" t="s">
        <v>37</v>
      </c>
      <c r="E99" s="4" t="s">
        <v>37</v>
      </c>
      <c r="F99" s="4" t="s">
        <v>37</v>
      </c>
      <c r="G99" s="4" t="s">
        <v>1625</v>
      </c>
      <c r="H99" s="4" t="s">
        <v>37</v>
      </c>
      <c r="I99" s="4" t="s">
        <v>616</v>
      </c>
      <c r="J99" s="4"/>
      <c r="K99" s="20" t="s">
        <v>73</v>
      </c>
      <c r="L99" s="2" t="s">
        <v>125</v>
      </c>
      <c r="M99" s="4"/>
      <c r="N99" s="4" t="s">
        <v>1312</v>
      </c>
      <c r="O99" s="4"/>
      <c r="P99" s="4"/>
      <c r="Q99" s="4"/>
      <c r="R99" s="4"/>
      <c r="S99" s="4"/>
      <c r="T99" s="4"/>
      <c r="U99" s="4"/>
      <c r="V99" s="4"/>
      <c r="W99" s="4"/>
      <c r="X99" s="4"/>
      <c r="Y99" s="4"/>
      <c r="Z99" s="4"/>
      <c r="AA99" s="4"/>
      <c r="AB99" s="4"/>
      <c r="AC99" s="4"/>
      <c r="AD99" s="4"/>
      <c r="AE99" s="11"/>
      <c r="AF99" s="11"/>
    </row>
    <row r="100" spans="1:32" ht="126">
      <c r="A100" s="60" t="s">
        <v>2316</v>
      </c>
      <c r="B100" s="49" t="s">
        <v>1180</v>
      </c>
      <c r="C100" s="18" t="s">
        <v>499</v>
      </c>
      <c r="D100" s="11" t="s">
        <v>37</v>
      </c>
      <c r="E100" s="11" t="s">
        <v>746</v>
      </c>
      <c r="F100" s="11" t="s">
        <v>1181</v>
      </c>
      <c r="G100" s="11" t="s">
        <v>1182</v>
      </c>
      <c r="H100" s="11" t="s">
        <v>1183</v>
      </c>
      <c r="I100" s="11" t="s">
        <v>1184</v>
      </c>
      <c r="K100" s="10" t="s">
        <v>74</v>
      </c>
      <c r="L100" s="19" t="s">
        <v>125</v>
      </c>
    </row>
    <row r="101" spans="1:32" s="22" customFormat="1">
      <c r="A101" s="60" t="s">
        <v>2312</v>
      </c>
      <c r="B101" s="50" t="s">
        <v>303</v>
      </c>
      <c r="C101" s="4" t="s">
        <v>160</v>
      </c>
      <c r="D101" s="4" t="s">
        <v>37</v>
      </c>
      <c r="E101" s="4" t="s">
        <v>532</v>
      </c>
      <c r="F101" s="4" t="s">
        <v>37</v>
      </c>
      <c r="G101" s="4" t="s">
        <v>37</v>
      </c>
      <c r="H101" s="4" t="s">
        <v>37</v>
      </c>
      <c r="I101" s="4" t="s">
        <v>533</v>
      </c>
      <c r="J101" s="4"/>
      <c r="K101" s="27" t="s">
        <v>73</v>
      </c>
      <c r="L101" s="2" t="s">
        <v>125</v>
      </c>
      <c r="M101" s="4"/>
      <c r="N101" s="4"/>
      <c r="O101" s="4"/>
      <c r="P101" s="4"/>
      <c r="Q101" s="4"/>
      <c r="R101" s="4"/>
      <c r="S101" s="4"/>
      <c r="T101" s="4"/>
      <c r="U101" s="4"/>
      <c r="V101" s="4"/>
      <c r="W101" s="4"/>
      <c r="X101" s="4"/>
      <c r="Y101" s="4"/>
      <c r="Z101" s="4"/>
      <c r="AA101" s="4"/>
      <c r="AB101" s="4"/>
      <c r="AC101" s="4"/>
      <c r="AD101" s="4"/>
      <c r="AE101" s="11"/>
      <c r="AF101" s="11"/>
    </row>
    <row r="102" spans="1:32" s="22" customFormat="1" ht="31.5">
      <c r="A102" s="60" t="s">
        <v>2313</v>
      </c>
      <c r="B102" s="45" t="s">
        <v>1971</v>
      </c>
      <c r="C102" s="17" t="s">
        <v>780</v>
      </c>
      <c r="D102" s="4" t="s">
        <v>37</v>
      </c>
      <c r="E102" s="4" t="s">
        <v>266</v>
      </c>
      <c r="F102" s="4" t="s">
        <v>37</v>
      </c>
      <c r="G102" s="4" t="s">
        <v>37</v>
      </c>
      <c r="H102" s="4" t="s">
        <v>37</v>
      </c>
      <c r="I102" s="4" t="s">
        <v>1985</v>
      </c>
      <c r="J102" s="4"/>
      <c r="K102" s="18" t="s">
        <v>164</v>
      </c>
      <c r="L102" s="4" t="s">
        <v>385</v>
      </c>
      <c r="M102" s="4"/>
      <c r="N102" s="4"/>
      <c r="O102" s="4"/>
      <c r="P102" s="4"/>
      <c r="Q102" s="4"/>
      <c r="R102" s="4"/>
      <c r="S102" s="4"/>
      <c r="T102" s="4"/>
      <c r="U102" s="4"/>
      <c r="V102" s="4"/>
      <c r="W102" s="4"/>
      <c r="X102" s="4"/>
      <c r="Y102" s="4"/>
      <c r="Z102" s="4"/>
      <c r="AA102" s="4"/>
      <c r="AB102" s="4"/>
      <c r="AC102" s="4"/>
      <c r="AD102" s="4"/>
      <c r="AE102" s="4"/>
      <c r="AF102" s="4"/>
    </row>
    <row r="103" spans="1:32" ht="141.75">
      <c r="A103" s="60" t="s">
        <v>2315</v>
      </c>
      <c r="B103" s="40" t="s">
        <v>289</v>
      </c>
      <c r="C103" s="17" t="s">
        <v>160</v>
      </c>
      <c r="D103" s="4" t="s">
        <v>37</v>
      </c>
      <c r="E103" s="4" t="s">
        <v>808</v>
      </c>
      <c r="F103" s="4" t="s">
        <v>37</v>
      </c>
      <c r="G103" s="4" t="s">
        <v>37</v>
      </c>
      <c r="H103" s="4" t="s">
        <v>37</v>
      </c>
      <c r="I103" s="4" t="s">
        <v>809</v>
      </c>
      <c r="J103" s="4"/>
      <c r="K103" s="18" t="s">
        <v>74</v>
      </c>
      <c r="L103" s="4" t="s">
        <v>385</v>
      </c>
      <c r="N103" s="4"/>
      <c r="O103" s="4"/>
      <c r="P103" s="4"/>
      <c r="Q103" s="4"/>
      <c r="R103" s="4"/>
      <c r="S103" s="4"/>
      <c r="T103" s="4"/>
      <c r="U103" s="4"/>
      <c r="V103" s="4"/>
      <c r="W103" s="4"/>
      <c r="X103" s="4"/>
      <c r="Y103" s="4"/>
      <c r="Z103" s="4"/>
      <c r="AA103" s="4"/>
      <c r="AB103" s="4"/>
      <c r="AC103" s="4"/>
      <c r="AD103" s="4"/>
      <c r="AE103" s="4"/>
      <c r="AF103" s="4"/>
    </row>
    <row r="104" spans="1:32" ht="78.75">
      <c r="A104" s="60" t="s">
        <v>2314</v>
      </c>
      <c r="B104" s="47" t="s">
        <v>2186</v>
      </c>
      <c r="C104" s="4" t="s">
        <v>160</v>
      </c>
      <c r="D104" s="4" t="s">
        <v>37</v>
      </c>
      <c r="E104" s="4" t="s">
        <v>1203</v>
      </c>
      <c r="F104" s="4" t="s">
        <v>37</v>
      </c>
      <c r="G104" s="4" t="s">
        <v>1223</v>
      </c>
      <c r="H104" s="4" t="s">
        <v>37</v>
      </c>
      <c r="I104" s="4" t="s">
        <v>791</v>
      </c>
      <c r="J104" s="4"/>
      <c r="K104" s="20" t="s">
        <v>73</v>
      </c>
      <c r="L104" s="4" t="s">
        <v>385</v>
      </c>
      <c r="M104" s="4"/>
      <c r="N104" s="4"/>
      <c r="O104" s="4"/>
      <c r="P104" s="4"/>
      <c r="Q104" s="4"/>
      <c r="R104" s="4"/>
      <c r="S104" s="4"/>
      <c r="T104" s="4"/>
      <c r="U104" s="4"/>
      <c r="V104" s="4"/>
      <c r="W104" s="4"/>
      <c r="X104" s="4"/>
      <c r="Y104" s="4"/>
      <c r="Z104" s="4"/>
      <c r="AA104" s="4"/>
      <c r="AB104" s="4"/>
      <c r="AC104" s="4"/>
      <c r="AD104" s="4"/>
      <c r="AE104" s="22"/>
      <c r="AF104" s="22"/>
    </row>
    <row r="105" spans="1:32" ht="78.75">
      <c r="A105" s="60" t="s">
        <v>2314</v>
      </c>
      <c r="B105" s="34" t="s">
        <v>2187</v>
      </c>
      <c r="C105" s="4" t="s">
        <v>160</v>
      </c>
      <c r="D105" s="4" t="s">
        <v>37</v>
      </c>
      <c r="E105" s="4" t="s">
        <v>1203</v>
      </c>
      <c r="F105" s="4" t="s">
        <v>37</v>
      </c>
      <c r="G105" s="4" t="s">
        <v>1223</v>
      </c>
      <c r="H105" s="4" t="s">
        <v>37</v>
      </c>
      <c r="I105" s="4" t="s">
        <v>791</v>
      </c>
      <c r="J105" s="4"/>
      <c r="K105" s="20" t="s">
        <v>73</v>
      </c>
      <c r="L105" s="4" t="s">
        <v>385</v>
      </c>
      <c r="M105" s="4"/>
      <c r="N105" s="4"/>
      <c r="O105" s="4"/>
      <c r="P105" s="4"/>
    </row>
  </sheetData>
  <autoFilter ref="B1:N105"/>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Extraction </vt:lpstr>
      <vt:lpstr>Study validity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 Eales</dc:creator>
  <cp:lastModifiedBy>0013434</cp:lastModifiedBy>
  <dcterms:created xsi:type="dcterms:W3CDTF">2016-11-08T13:04:39Z</dcterms:created>
  <dcterms:modified xsi:type="dcterms:W3CDTF">2018-08-03T12:41:38Z</dcterms:modified>
</cp:coreProperties>
</file>